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E:\John\Dropbox\Papers.MTPipeline\Submission\Supplemental Tables\"/>
    </mc:Choice>
  </mc:AlternateContent>
  <xr:revisionPtr revIDLastSave="0" documentId="13_ncr:1_{A1B758FA-DC50-4F5A-A89B-820E559B3B80}" xr6:coauthVersionLast="45" xr6:coauthVersionMax="45" xr10:uidLastSave="{00000000-0000-0000-0000-000000000000}"/>
  <bookViews>
    <workbookView xWindow="33660" yWindow="2925" windowWidth="23850" windowHeight="13935" xr2:uid="{00000000-000D-0000-FFFF-FFFF00000000}"/>
  </bookViews>
  <sheets>
    <sheet name="oct 13 2020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53" i="2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41" i="2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29" i="2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18" i="2"/>
  <c r="A19" i="2" s="1"/>
  <c r="A20" i="2" s="1"/>
  <c r="A21" i="2" s="1"/>
  <c r="A22" i="2" s="1"/>
  <c r="A23" i="2" s="1"/>
  <c r="A24" i="2" s="1"/>
  <c r="A25" i="2" s="1"/>
  <c r="A26" i="2" s="1"/>
  <c r="A27" i="2" s="1"/>
  <c r="A17" i="2"/>
  <c r="A5" i="2"/>
  <c r="M63" i="2"/>
  <c r="M62" i="2"/>
  <c r="M61" i="2"/>
  <c r="M60" i="2"/>
  <c r="M59" i="2"/>
  <c r="M58" i="2"/>
  <c r="M57" i="2"/>
  <c r="M56" i="2"/>
  <c r="M55" i="2"/>
  <c r="M54" i="2"/>
  <c r="M53" i="2"/>
  <c r="M52" i="2"/>
  <c r="D52" i="2"/>
  <c r="M50" i="2"/>
  <c r="M38" i="2"/>
  <c r="M33" i="2"/>
  <c r="M31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O20" i="1" l="1"/>
  <c r="F19" i="1"/>
  <c r="F18" i="1"/>
  <c r="F17" i="1"/>
  <c r="F16" i="1"/>
  <c r="F15" i="1"/>
  <c r="AO3" i="1" l="1"/>
  <c r="AB11" i="1"/>
  <c r="AC11" i="1"/>
  <c r="AD11" i="1"/>
  <c r="AE11" i="1"/>
  <c r="AF11" i="1"/>
  <c r="AG11" i="1"/>
  <c r="AH11" i="1"/>
  <c r="AI11" i="1"/>
  <c r="AJ11" i="1"/>
  <c r="AK11" i="1"/>
  <c r="AL11" i="1"/>
  <c r="AM11" i="1"/>
  <c r="X11" i="1"/>
  <c r="U11" i="1"/>
  <c r="P11" i="1"/>
  <c r="Y11" i="1"/>
  <c r="T11" i="1"/>
  <c r="R11" i="1"/>
  <c r="O11" i="1"/>
  <c r="Z11" i="1"/>
  <c r="W11" i="1"/>
  <c r="V11" i="1"/>
  <c r="S11" i="1"/>
  <c r="Q11" i="1"/>
  <c r="AZ11" i="1"/>
</calcChain>
</file>

<file path=xl/sharedStrings.xml><?xml version="1.0" encoding="utf-8"?>
<sst xmlns="http://schemas.openxmlformats.org/spreadsheetml/2006/main" count="210" uniqueCount="68">
  <si>
    <t>expected</t>
  </si>
  <si>
    <t>mpro ta boost</t>
  </si>
  <si>
    <t>humann2</t>
  </si>
  <si>
    <t>samsa2</t>
  </si>
  <si>
    <t>504 cl</t>
  </si>
  <si>
    <t>504 cqy</t>
  </si>
  <si>
    <t>504 cqn</t>
  </si>
  <si>
    <t>504 cm</t>
  </si>
  <si>
    <t>503 cqn</t>
  </si>
  <si>
    <t>503 cm</t>
  </si>
  <si>
    <t>502 cl</t>
  </si>
  <si>
    <t>502 cqy</t>
  </si>
  <si>
    <t>502 cqn</t>
  </si>
  <si>
    <t>501 cl</t>
  </si>
  <si>
    <t>501 cqy</t>
  </si>
  <si>
    <t>501 cqn</t>
  </si>
  <si>
    <t>Clostridium ASF356</t>
  </si>
  <si>
    <t>Clostridium ASF502</t>
  </si>
  <si>
    <t>Eubacterium Plexicaudatum ASF492</t>
  </si>
  <si>
    <t>Firmicutes ASF500</t>
  </si>
  <si>
    <t>Lactobacillus ASF360</t>
  </si>
  <si>
    <t>Lactobacillus Murinus ASF361</t>
  </si>
  <si>
    <t>Mucispirillum Schaedleri ASF457</t>
  </si>
  <si>
    <t>Parabacteroides ASF519</t>
  </si>
  <si>
    <t>Other Bacteria</t>
  </si>
  <si>
    <t>new expected</t>
  </si>
  <si>
    <t>final mpro</t>
  </si>
  <si>
    <t>HUMAnN2 66</t>
  </si>
  <si>
    <t>SAMSA2 66</t>
  </si>
  <si>
    <t>Leuconostoc mesenteroides</t>
  </si>
  <si>
    <t>Lactobacillus sakei</t>
  </si>
  <si>
    <t>Weissella koreensis</t>
  </si>
  <si>
    <t>Leuconostoc carnosum</t>
  </si>
  <si>
    <t>Leuconostoc gelidum</t>
  </si>
  <si>
    <t>Parabacteroides Goldsteinii</t>
  </si>
  <si>
    <t>Tool</t>
  </si>
  <si>
    <t>Sample name</t>
  </si>
  <si>
    <t>BWA</t>
  </si>
  <si>
    <t>SAMSA2</t>
  </si>
  <si>
    <t>MetaPro</t>
  </si>
  <si>
    <t>HUMAnN2</t>
  </si>
  <si>
    <t>HUMAnN3</t>
  </si>
  <si>
    <t>SRR1829005</t>
  </si>
  <si>
    <t>SRR1829003</t>
  </si>
  <si>
    <t>SRR1829000</t>
  </si>
  <si>
    <t>SRR1829007</t>
  </si>
  <si>
    <t>SRR1828995</t>
  </si>
  <si>
    <t>SRR1828998</t>
  </si>
  <si>
    <t>SRR1828993</t>
  </si>
  <si>
    <t>SRR1828991</t>
  </si>
  <si>
    <t>SRR1828989</t>
  </si>
  <si>
    <t>SRR1828976</t>
  </si>
  <si>
    <t>SRR1828965</t>
  </si>
  <si>
    <t>SRR1828983</t>
  </si>
  <si>
    <t>NOD Mouse 1 - Cecum - Qiagen</t>
  </si>
  <si>
    <t>NOD Mouse 1 - Cecum - Qiagen - Ribominus</t>
  </si>
  <si>
    <t>NOD Mouse 1 - Colon - Qiagen</t>
  </si>
  <si>
    <t>NOD Mouse 2 - Cecum - Qiagen</t>
  </si>
  <si>
    <t>NOD Mouse 2 - Cecum - Qiagen - Ribominus</t>
  </si>
  <si>
    <t>NOD Mouse 2 - Colon - Qiagen</t>
  </si>
  <si>
    <t>NOD Mouse 3 - Cecum - Invitrogen</t>
  </si>
  <si>
    <t>NOD Mouse 3 - Cecum - Qiagen</t>
  </si>
  <si>
    <t>NOD Mouse 4 - Cecum – Invitrogen</t>
  </si>
  <si>
    <t>NOD Mouse 4 - Cecum - Qiagen</t>
  </si>
  <si>
    <t>NOD Mouse 4 - Cecum – Qiagen - Ribominus</t>
  </si>
  <si>
    <t>NOD Mouse 4 - Colon – Qiagen</t>
  </si>
  <si>
    <t>Sample ID</t>
  </si>
  <si>
    <t>Supplemental Table 2: Read annotation statistics for NOD mouse datasets from MetaPro, HUMAnN3, HUMAnN2, SAMSA2 compared with the gold standard.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</si>
</sst>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  <color rgb="FFCC3300"/>
      <color rgb="FFA21C0E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C1AF9-E967-4514-B730-E573C48799A1}">
  <dimension ref="A1:N63"/>
  <sheetViews>
    <sheetView tabSelected="1" zoomScale="130" zoomScaleNormal="130" workbookViewId="0"/>
  </sheetViews>
  <sheetFormatPr defaultRowHeight="15.75" x14ac:dyDescent="0.25"/>
  <cols>
    <col min="1" max="2" width="14.28515625" style="2" customWidth="1"/>
    <col min="3" max="3" width="23.7109375" style="2" customWidth="1"/>
    <col min="4" max="12" width="9.140625" style="2"/>
    <col min="13" max="13" width="12.85546875" style="2" customWidth="1"/>
    <col min="14" max="14" width="13.7109375" style="2" customWidth="1"/>
    <col min="15" max="18" width="9.140625" style="2"/>
    <col min="19" max="19" width="11.42578125" style="2" customWidth="1"/>
    <col min="20" max="38" width="9.140625" style="2"/>
    <col min="39" max="39" width="10.5703125" style="2" customWidth="1"/>
    <col min="40" max="16384" width="9.140625" style="2"/>
  </cols>
  <sheetData>
    <row r="1" spans="1:14" x14ac:dyDescent="0.25">
      <c r="A1" s="1" t="s">
        <v>67</v>
      </c>
    </row>
    <row r="3" spans="1:14" x14ac:dyDescent="0.25">
      <c r="A3" s="2" t="s">
        <v>35</v>
      </c>
      <c r="B3" s="2" t="s">
        <v>66</v>
      </c>
      <c r="C3" s="2" t="s">
        <v>36</v>
      </c>
      <c r="D3" s="2" t="s">
        <v>16</v>
      </c>
      <c r="E3" s="2" t="s">
        <v>17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22</v>
      </c>
      <c r="K3" s="2" t="s">
        <v>23</v>
      </c>
      <c r="L3" s="2" t="s">
        <v>34</v>
      </c>
      <c r="M3" s="2" t="s">
        <v>24</v>
      </c>
    </row>
    <row r="4" spans="1:14" x14ac:dyDescent="0.25">
      <c r="A4" s="2" t="s">
        <v>37</v>
      </c>
      <c r="B4" s="2" t="s">
        <v>42</v>
      </c>
      <c r="C4" s="3" t="s">
        <v>65</v>
      </c>
      <c r="D4" s="2">
        <v>145741</v>
      </c>
      <c r="E4" s="2">
        <v>12824</v>
      </c>
      <c r="F4" s="2">
        <v>2876</v>
      </c>
      <c r="G4" s="2">
        <v>298</v>
      </c>
      <c r="H4" s="2">
        <v>87</v>
      </c>
      <c r="I4" s="2">
        <v>11054</v>
      </c>
      <c r="J4" s="2">
        <v>41422</v>
      </c>
      <c r="K4" s="2">
        <v>514248</v>
      </c>
      <c r="L4" s="2">
        <v>0</v>
      </c>
      <c r="M4" s="2">
        <v>0</v>
      </c>
      <c r="N4" s="4"/>
    </row>
    <row r="5" spans="1:14" x14ac:dyDescent="0.25">
      <c r="A5" s="2" t="str">
        <f>A4</f>
        <v>BWA</v>
      </c>
      <c r="B5" s="2" t="s">
        <v>43</v>
      </c>
      <c r="C5" s="3" t="s">
        <v>64</v>
      </c>
      <c r="D5" s="2">
        <v>188639</v>
      </c>
      <c r="E5" s="2">
        <v>23843</v>
      </c>
      <c r="F5" s="2">
        <v>1858</v>
      </c>
      <c r="G5" s="2">
        <v>79</v>
      </c>
      <c r="H5" s="2">
        <v>30</v>
      </c>
      <c r="I5" s="2">
        <v>11820</v>
      </c>
      <c r="J5" s="2">
        <v>32950</v>
      </c>
      <c r="K5" s="2">
        <v>613100</v>
      </c>
      <c r="L5" s="2">
        <v>0</v>
      </c>
      <c r="M5" s="2">
        <v>0</v>
      </c>
      <c r="N5" s="4"/>
    </row>
    <row r="6" spans="1:14" x14ac:dyDescent="0.25">
      <c r="A6" s="2" t="str">
        <f t="shared" ref="A6:A15" si="0">A5</f>
        <v>BWA</v>
      </c>
      <c r="B6" s="2" t="s">
        <v>44</v>
      </c>
      <c r="C6" s="3" t="s">
        <v>63</v>
      </c>
      <c r="D6" s="2">
        <v>213818</v>
      </c>
      <c r="E6" s="2">
        <v>16643</v>
      </c>
      <c r="F6" s="2">
        <v>5230</v>
      </c>
      <c r="G6" s="2">
        <v>310</v>
      </c>
      <c r="H6" s="2">
        <v>77</v>
      </c>
      <c r="I6" s="2">
        <v>7415</v>
      </c>
      <c r="J6" s="2">
        <v>28589</v>
      </c>
      <c r="K6" s="2">
        <v>541963</v>
      </c>
      <c r="L6" s="2">
        <v>0</v>
      </c>
      <c r="M6" s="2">
        <v>0</v>
      </c>
      <c r="N6" s="4"/>
    </row>
    <row r="7" spans="1:14" x14ac:dyDescent="0.25">
      <c r="A7" s="2" t="str">
        <f t="shared" si="0"/>
        <v>BWA</v>
      </c>
      <c r="B7" s="2" t="s">
        <v>45</v>
      </c>
      <c r="C7" s="3" t="s">
        <v>62</v>
      </c>
      <c r="D7" s="2">
        <v>183712</v>
      </c>
      <c r="E7" s="2">
        <v>7525</v>
      </c>
      <c r="F7" s="2">
        <v>1870</v>
      </c>
      <c r="G7" s="2">
        <v>185</v>
      </c>
      <c r="H7" s="2">
        <v>73</v>
      </c>
      <c r="I7" s="2">
        <v>3053</v>
      </c>
      <c r="J7" s="2">
        <v>45120</v>
      </c>
      <c r="K7" s="2">
        <v>345596</v>
      </c>
      <c r="L7" s="2">
        <v>0</v>
      </c>
      <c r="M7" s="2">
        <v>0</v>
      </c>
      <c r="N7" s="4"/>
    </row>
    <row r="8" spans="1:14" x14ac:dyDescent="0.25">
      <c r="A8" s="2" t="str">
        <f t="shared" si="0"/>
        <v>BWA</v>
      </c>
      <c r="B8" s="2" t="s">
        <v>46</v>
      </c>
      <c r="C8" s="3" t="s">
        <v>61</v>
      </c>
      <c r="D8" s="2">
        <v>128757</v>
      </c>
      <c r="E8" s="2">
        <v>17631</v>
      </c>
      <c r="F8" s="2">
        <v>4465</v>
      </c>
      <c r="G8" s="2">
        <v>306</v>
      </c>
      <c r="H8" s="2">
        <v>82</v>
      </c>
      <c r="I8" s="2">
        <v>8161</v>
      </c>
      <c r="J8" s="2">
        <v>29472</v>
      </c>
      <c r="K8" s="2">
        <v>327635</v>
      </c>
      <c r="L8" s="2">
        <v>0</v>
      </c>
      <c r="M8" s="2">
        <v>0</v>
      </c>
      <c r="N8" s="4"/>
    </row>
    <row r="9" spans="1:14" x14ac:dyDescent="0.25">
      <c r="A9" s="2" t="str">
        <f t="shared" si="0"/>
        <v>BWA</v>
      </c>
      <c r="B9" s="2" t="s">
        <v>47</v>
      </c>
      <c r="C9" s="3" t="s">
        <v>60</v>
      </c>
      <c r="D9" s="2">
        <v>214094</v>
      </c>
      <c r="E9" s="2">
        <v>19784</v>
      </c>
      <c r="F9" s="2">
        <v>5387</v>
      </c>
      <c r="G9" s="2">
        <v>548</v>
      </c>
      <c r="H9" s="2">
        <v>117</v>
      </c>
      <c r="I9" s="2">
        <v>6391</v>
      </c>
      <c r="J9" s="2">
        <v>90660</v>
      </c>
      <c r="K9" s="2">
        <v>770413</v>
      </c>
      <c r="L9" s="2">
        <v>0</v>
      </c>
      <c r="M9" s="2">
        <v>0</v>
      </c>
      <c r="N9" s="4"/>
    </row>
    <row r="10" spans="1:14" x14ac:dyDescent="0.25">
      <c r="A10" s="2" t="str">
        <f t="shared" si="0"/>
        <v>BWA</v>
      </c>
      <c r="B10" s="2" t="s">
        <v>48</v>
      </c>
      <c r="C10" s="3" t="s">
        <v>59</v>
      </c>
      <c r="D10" s="2">
        <v>69622</v>
      </c>
      <c r="E10" s="2">
        <v>12255</v>
      </c>
      <c r="F10" s="2">
        <v>2520</v>
      </c>
      <c r="G10" s="2">
        <v>224</v>
      </c>
      <c r="H10" s="2">
        <v>68</v>
      </c>
      <c r="I10" s="2">
        <v>11543</v>
      </c>
      <c r="J10" s="2">
        <v>8626</v>
      </c>
      <c r="K10" s="2">
        <v>351293</v>
      </c>
      <c r="L10" s="2">
        <v>0</v>
      </c>
      <c r="M10" s="2">
        <v>0</v>
      </c>
      <c r="N10" s="4"/>
    </row>
    <row r="11" spans="1:14" x14ac:dyDescent="0.25">
      <c r="A11" s="2" t="str">
        <f t="shared" si="0"/>
        <v>BWA</v>
      </c>
      <c r="B11" s="2" t="s">
        <v>49</v>
      </c>
      <c r="C11" s="3" t="s">
        <v>58</v>
      </c>
      <c r="D11" s="2">
        <v>107432</v>
      </c>
      <c r="E11" s="2">
        <v>10089</v>
      </c>
      <c r="F11" s="2">
        <v>790</v>
      </c>
      <c r="G11" s="2">
        <v>54</v>
      </c>
      <c r="H11" s="2">
        <v>27</v>
      </c>
      <c r="I11" s="2">
        <v>3307</v>
      </c>
      <c r="J11" s="2">
        <v>13639</v>
      </c>
      <c r="K11" s="2">
        <v>271242</v>
      </c>
      <c r="L11" s="2">
        <v>0</v>
      </c>
      <c r="M11" s="2">
        <v>0</v>
      </c>
      <c r="N11" s="4"/>
    </row>
    <row r="12" spans="1:14" x14ac:dyDescent="0.25">
      <c r="A12" s="2" t="str">
        <f t="shared" si="0"/>
        <v>BWA</v>
      </c>
      <c r="B12" s="2" t="s">
        <v>50</v>
      </c>
      <c r="C12" s="3" t="s">
        <v>57</v>
      </c>
      <c r="D12" s="2">
        <v>303887</v>
      </c>
      <c r="E12" s="2">
        <v>28847</v>
      </c>
      <c r="F12" s="2">
        <v>4673</v>
      </c>
      <c r="G12" s="2">
        <v>282</v>
      </c>
      <c r="H12" s="2">
        <v>98</v>
      </c>
      <c r="I12" s="2">
        <v>10986</v>
      </c>
      <c r="J12" s="2">
        <v>43517</v>
      </c>
      <c r="K12" s="2">
        <v>473363</v>
      </c>
      <c r="L12" s="2">
        <v>0</v>
      </c>
      <c r="M12" s="2">
        <v>0</v>
      </c>
      <c r="N12" s="4"/>
    </row>
    <row r="13" spans="1:14" x14ac:dyDescent="0.25">
      <c r="A13" s="2" t="str">
        <f t="shared" si="0"/>
        <v>BWA</v>
      </c>
      <c r="B13" s="2" t="s">
        <v>53</v>
      </c>
      <c r="C13" s="3" t="s">
        <v>56</v>
      </c>
      <c r="D13" s="2">
        <v>145741</v>
      </c>
      <c r="E13" s="2">
        <v>12824</v>
      </c>
      <c r="F13" s="2">
        <v>2876</v>
      </c>
      <c r="G13" s="2">
        <v>298</v>
      </c>
      <c r="H13" s="2">
        <v>87</v>
      </c>
      <c r="I13" s="2">
        <v>11054</v>
      </c>
      <c r="J13" s="2">
        <v>41422</v>
      </c>
      <c r="K13" s="2">
        <v>514248</v>
      </c>
      <c r="L13" s="2">
        <v>0</v>
      </c>
      <c r="M13" s="2">
        <v>0</v>
      </c>
      <c r="N13" s="4"/>
    </row>
    <row r="14" spans="1:14" x14ac:dyDescent="0.25">
      <c r="A14" s="2" t="str">
        <f t="shared" si="0"/>
        <v>BWA</v>
      </c>
      <c r="B14" s="2" t="s">
        <v>51</v>
      </c>
      <c r="C14" s="3" t="s">
        <v>55</v>
      </c>
      <c r="D14" s="2">
        <v>143009</v>
      </c>
      <c r="E14" s="2">
        <v>9270</v>
      </c>
      <c r="F14" s="2">
        <v>1081</v>
      </c>
      <c r="G14" s="2">
        <v>87</v>
      </c>
      <c r="H14" s="2">
        <v>320</v>
      </c>
      <c r="I14" s="2">
        <v>8632</v>
      </c>
      <c r="J14" s="2">
        <v>112276</v>
      </c>
      <c r="K14" s="2">
        <v>669047</v>
      </c>
      <c r="L14" s="2">
        <v>0</v>
      </c>
      <c r="M14" s="2">
        <v>0</v>
      </c>
      <c r="N14" s="4"/>
    </row>
    <row r="15" spans="1:14" x14ac:dyDescent="0.25">
      <c r="A15" s="2" t="str">
        <f t="shared" si="0"/>
        <v>BWA</v>
      </c>
      <c r="B15" s="2" t="s">
        <v>52</v>
      </c>
      <c r="C15" s="3" t="s">
        <v>54</v>
      </c>
      <c r="D15" s="2">
        <v>207430</v>
      </c>
      <c r="E15" s="2">
        <v>12593</v>
      </c>
      <c r="F15" s="2">
        <v>2494</v>
      </c>
      <c r="G15" s="2">
        <v>142</v>
      </c>
      <c r="H15" s="2">
        <v>38</v>
      </c>
      <c r="I15" s="2">
        <v>3449</v>
      </c>
      <c r="J15" s="2">
        <v>31260</v>
      </c>
      <c r="K15" s="2">
        <v>323133</v>
      </c>
      <c r="L15" s="2">
        <v>0</v>
      </c>
      <c r="M15" s="2">
        <v>0</v>
      </c>
      <c r="N15" s="4"/>
    </row>
    <row r="16" spans="1:14" x14ac:dyDescent="0.25">
      <c r="A16" s="2" t="s">
        <v>39</v>
      </c>
      <c r="B16" s="2" t="s">
        <v>42</v>
      </c>
      <c r="C16" s="3" t="s">
        <v>65</v>
      </c>
      <c r="D16" s="2">
        <v>56763</v>
      </c>
      <c r="E16" s="2">
        <v>26</v>
      </c>
      <c r="F16" s="2">
        <v>39</v>
      </c>
      <c r="G16" s="2">
        <v>0</v>
      </c>
      <c r="H16" s="2">
        <v>0</v>
      </c>
      <c r="I16" s="2">
        <v>2354</v>
      </c>
      <c r="J16" s="2">
        <v>8919</v>
      </c>
      <c r="K16" s="2">
        <v>100720</v>
      </c>
      <c r="L16" s="2">
        <v>81631</v>
      </c>
      <c r="M16" s="2">
        <f>286535-L16</f>
        <v>204904</v>
      </c>
    </row>
    <row r="17" spans="1:13" x14ac:dyDescent="0.25">
      <c r="A17" s="2" t="str">
        <f>A16</f>
        <v>MetaPro</v>
      </c>
      <c r="B17" s="2" t="s">
        <v>43</v>
      </c>
      <c r="C17" s="3" t="s">
        <v>64</v>
      </c>
      <c r="D17" s="2">
        <v>45483</v>
      </c>
      <c r="E17" s="2">
        <v>2</v>
      </c>
      <c r="F17" s="2">
        <v>3</v>
      </c>
      <c r="G17" s="2">
        <v>0</v>
      </c>
      <c r="H17" s="2">
        <v>0</v>
      </c>
      <c r="I17" s="2">
        <v>5584</v>
      </c>
      <c r="J17" s="2">
        <v>8196</v>
      </c>
      <c r="K17" s="2">
        <v>86540</v>
      </c>
      <c r="L17" s="2">
        <v>68652</v>
      </c>
      <c r="M17" s="2">
        <f>345697-L17</f>
        <v>277045</v>
      </c>
    </row>
    <row r="18" spans="1:13" x14ac:dyDescent="0.25">
      <c r="A18" s="2" t="str">
        <f t="shared" ref="A18:A27" si="1">A17</f>
        <v>MetaPro</v>
      </c>
      <c r="B18" s="2" t="s">
        <v>44</v>
      </c>
      <c r="C18" s="3" t="s">
        <v>63</v>
      </c>
      <c r="D18" s="2">
        <v>11996</v>
      </c>
      <c r="E18" s="2">
        <v>2</v>
      </c>
      <c r="F18" s="2">
        <v>3</v>
      </c>
      <c r="G18" s="2">
        <v>0</v>
      </c>
      <c r="H18" s="2">
        <v>0</v>
      </c>
      <c r="I18" s="2">
        <v>656</v>
      </c>
      <c r="J18" s="2">
        <v>1183</v>
      </c>
      <c r="K18" s="2">
        <v>14927</v>
      </c>
      <c r="L18" s="2">
        <v>12000</v>
      </c>
      <c r="M18" s="2">
        <f>189115-L18</f>
        <v>177115</v>
      </c>
    </row>
    <row r="19" spans="1:13" x14ac:dyDescent="0.25">
      <c r="A19" s="2" t="str">
        <f t="shared" si="1"/>
        <v>MetaPro</v>
      </c>
      <c r="B19" s="2" t="s">
        <v>45</v>
      </c>
      <c r="C19" s="3" t="s">
        <v>62</v>
      </c>
      <c r="D19" s="2">
        <v>74575</v>
      </c>
      <c r="E19" s="2">
        <v>19</v>
      </c>
      <c r="F19" s="2">
        <v>39</v>
      </c>
      <c r="G19" s="2">
        <v>0</v>
      </c>
      <c r="H19" s="2">
        <v>0</v>
      </c>
      <c r="I19" s="2">
        <v>1017</v>
      </c>
      <c r="J19" s="2">
        <v>7532</v>
      </c>
      <c r="K19" s="2">
        <v>114606</v>
      </c>
      <c r="L19" s="2">
        <v>85025</v>
      </c>
      <c r="M19" s="2">
        <f>305171-L19</f>
        <v>220146</v>
      </c>
    </row>
    <row r="20" spans="1:13" x14ac:dyDescent="0.25">
      <c r="A20" s="2" t="str">
        <f t="shared" si="1"/>
        <v>MetaPro</v>
      </c>
      <c r="B20" s="2" t="s">
        <v>46</v>
      </c>
      <c r="C20" s="3" t="s">
        <v>61</v>
      </c>
      <c r="D20" s="2">
        <v>6012</v>
      </c>
      <c r="E20" s="2">
        <v>0</v>
      </c>
      <c r="F20" s="2">
        <v>0</v>
      </c>
      <c r="G20" s="2">
        <v>0</v>
      </c>
      <c r="H20" s="2">
        <v>0</v>
      </c>
      <c r="I20" s="2">
        <v>683</v>
      </c>
      <c r="J20" s="2">
        <v>1442</v>
      </c>
      <c r="K20" s="2">
        <v>14477</v>
      </c>
      <c r="L20" s="2">
        <v>12649</v>
      </c>
      <c r="M20" s="2">
        <f>127333-L20</f>
        <v>114684</v>
      </c>
    </row>
    <row r="21" spans="1:13" x14ac:dyDescent="0.25">
      <c r="A21" s="2" t="str">
        <f t="shared" si="1"/>
        <v>MetaPro</v>
      </c>
      <c r="B21" s="2" t="s">
        <v>47</v>
      </c>
      <c r="C21" s="3" t="s">
        <v>60</v>
      </c>
      <c r="D21" s="2">
        <v>65791</v>
      </c>
      <c r="E21" s="2">
        <v>81</v>
      </c>
      <c r="F21" s="2">
        <v>126</v>
      </c>
      <c r="G21" s="2">
        <v>0</v>
      </c>
      <c r="H21" s="2">
        <v>0</v>
      </c>
      <c r="I21" s="2">
        <v>2300</v>
      </c>
      <c r="J21" s="2">
        <v>16086</v>
      </c>
      <c r="K21" s="2">
        <v>316604</v>
      </c>
      <c r="L21" s="2">
        <v>188158</v>
      </c>
      <c r="M21" s="2">
        <f>511443-L21</f>
        <v>323285</v>
      </c>
    </row>
    <row r="22" spans="1:13" x14ac:dyDescent="0.25">
      <c r="A22" s="2" t="str">
        <f t="shared" si="1"/>
        <v>MetaPro</v>
      </c>
      <c r="B22" s="2" t="s">
        <v>48</v>
      </c>
      <c r="C22" s="3" t="s">
        <v>59</v>
      </c>
      <c r="D22" s="2">
        <v>9397</v>
      </c>
      <c r="E22" s="2">
        <v>2</v>
      </c>
      <c r="F22" s="2">
        <v>1</v>
      </c>
      <c r="G22" s="2">
        <v>0</v>
      </c>
      <c r="H22" s="2">
        <v>0</v>
      </c>
      <c r="I22" s="2">
        <v>1433</v>
      </c>
      <c r="J22" s="2">
        <v>797</v>
      </c>
      <c r="K22" s="2">
        <v>17910</v>
      </c>
      <c r="L22" s="2">
        <v>14224</v>
      </c>
      <c r="M22" s="2">
        <f>131025-L22</f>
        <v>116801</v>
      </c>
    </row>
    <row r="23" spans="1:13" x14ac:dyDescent="0.25">
      <c r="A23" s="2" t="str">
        <f t="shared" si="1"/>
        <v>MetaPro</v>
      </c>
      <c r="B23" s="2" t="s">
        <v>49</v>
      </c>
      <c r="C23" s="3" t="s">
        <v>58</v>
      </c>
      <c r="D23" s="2">
        <v>16030</v>
      </c>
      <c r="E23" s="2">
        <v>3</v>
      </c>
      <c r="F23" s="2">
        <v>8</v>
      </c>
      <c r="G23" s="2">
        <v>0</v>
      </c>
      <c r="H23" s="2">
        <v>0</v>
      </c>
      <c r="I23" s="2">
        <v>1251</v>
      </c>
      <c r="J23" s="2">
        <v>3008</v>
      </c>
      <c r="K23" s="2">
        <v>43093</v>
      </c>
      <c r="L23" s="2">
        <v>35566</v>
      </c>
      <c r="M23" s="2">
        <f>160883 - L23</f>
        <v>125317</v>
      </c>
    </row>
    <row r="24" spans="1:13" x14ac:dyDescent="0.25">
      <c r="A24" s="2" t="str">
        <f t="shared" si="1"/>
        <v>MetaPro</v>
      </c>
      <c r="B24" s="2" t="s">
        <v>50</v>
      </c>
      <c r="C24" s="3" t="s">
        <v>57</v>
      </c>
      <c r="D24" s="2">
        <v>15309</v>
      </c>
      <c r="E24" s="2">
        <v>1</v>
      </c>
      <c r="F24" s="2">
        <v>0</v>
      </c>
      <c r="G24" s="2">
        <v>0</v>
      </c>
      <c r="H24" s="2">
        <v>0</v>
      </c>
      <c r="I24" s="2">
        <v>460</v>
      </c>
      <c r="J24" s="2">
        <v>941</v>
      </c>
      <c r="K24" s="2">
        <v>17703</v>
      </c>
      <c r="L24" s="2">
        <v>14482</v>
      </c>
      <c r="M24" s="2">
        <f>181283-L24</f>
        <v>166801</v>
      </c>
    </row>
    <row r="25" spans="1:13" x14ac:dyDescent="0.25">
      <c r="A25" s="2" t="str">
        <f t="shared" si="1"/>
        <v>MetaPro</v>
      </c>
      <c r="B25" s="2" t="s">
        <v>53</v>
      </c>
      <c r="C25" s="3" t="s">
        <v>56</v>
      </c>
      <c r="D25" s="2">
        <v>2466</v>
      </c>
      <c r="E25" s="2">
        <v>1</v>
      </c>
      <c r="F25" s="2">
        <v>0</v>
      </c>
      <c r="G25" s="2">
        <v>0</v>
      </c>
      <c r="H25" s="2">
        <v>0</v>
      </c>
      <c r="I25" s="2">
        <v>747</v>
      </c>
      <c r="J25" s="2">
        <v>329</v>
      </c>
      <c r="K25" s="2">
        <v>5654</v>
      </c>
      <c r="L25" s="2">
        <v>4080</v>
      </c>
      <c r="M25" s="2">
        <f>62814 - L25</f>
        <v>58734</v>
      </c>
    </row>
    <row r="26" spans="1:13" x14ac:dyDescent="0.25">
      <c r="A26" s="2" t="str">
        <f t="shared" si="1"/>
        <v>MetaPro</v>
      </c>
      <c r="B26" s="2" t="s">
        <v>51</v>
      </c>
      <c r="C26" s="3" t="s">
        <v>55</v>
      </c>
      <c r="D26" s="2">
        <v>43893</v>
      </c>
      <c r="E26" s="2">
        <v>11</v>
      </c>
      <c r="F26" s="2">
        <v>33</v>
      </c>
      <c r="G26" s="2">
        <v>0</v>
      </c>
      <c r="H26" s="2">
        <v>0</v>
      </c>
      <c r="I26" s="2">
        <v>2818</v>
      </c>
      <c r="J26" s="2">
        <v>16786</v>
      </c>
      <c r="K26" s="2">
        <v>266959</v>
      </c>
      <c r="L26" s="2">
        <v>184270</v>
      </c>
      <c r="M26" s="2">
        <f>384971 - L26</f>
        <v>200701</v>
      </c>
    </row>
    <row r="27" spans="1:13" x14ac:dyDescent="0.25">
      <c r="A27" s="2" t="str">
        <f t="shared" si="1"/>
        <v>MetaPro</v>
      </c>
      <c r="B27" s="2" t="s">
        <v>52</v>
      </c>
      <c r="C27" s="3" t="s">
        <v>54</v>
      </c>
      <c r="D27" s="2">
        <v>4648</v>
      </c>
      <c r="E27" s="2">
        <v>0</v>
      </c>
      <c r="F27" s="2">
        <v>0</v>
      </c>
      <c r="G27" s="2">
        <v>0</v>
      </c>
      <c r="H27" s="2">
        <v>0</v>
      </c>
      <c r="I27" s="2">
        <v>101</v>
      </c>
      <c r="J27" s="2">
        <v>848</v>
      </c>
      <c r="K27" s="2">
        <v>9574</v>
      </c>
      <c r="L27" s="2">
        <v>8223</v>
      </c>
      <c r="M27" s="2">
        <f>111508 - L27</f>
        <v>103285</v>
      </c>
    </row>
    <row r="28" spans="1:13" x14ac:dyDescent="0.25">
      <c r="A28" s="2" t="s">
        <v>40</v>
      </c>
      <c r="B28" s="2" t="s">
        <v>42</v>
      </c>
      <c r="C28" s="3" t="s">
        <v>65</v>
      </c>
      <c r="D28" s="2">
        <v>38010.5</v>
      </c>
      <c r="E28" s="2">
        <v>0</v>
      </c>
      <c r="F28" s="2">
        <v>0</v>
      </c>
      <c r="G28" s="2">
        <v>0</v>
      </c>
      <c r="H28" s="2">
        <v>0</v>
      </c>
      <c r="I28" s="2">
        <v>1683</v>
      </c>
      <c r="J28" s="2">
        <v>6799</v>
      </c>
      <c r="K28" s="2">
        <v>0</v>
      </c>
      <c r="L28" s="2">
        <v>141539</v>
      </c>
      <c r="M28" s="2">
        <f>4225</f>
        <v>4225</v>
      </c>
    </row>
    <row r="29" spans="1:13" x14ac:dyDescent="0.25">
      <c r="A29" s="2" t="str">
        <f>A28</f>
        <v>HUMAnN2</v>
      </c>
      <c r="B29" s="2" t="s">
        <v>43</v>
      </c>
      <c r="C29" s="3" t="s">
        <v>64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7202.5</v>
      </c>
      <c r="K29" s="2">
        <v>0</v>
      </c>
      <c r="L29" s="2">
        <v>151707</v>
      </c>
      <c r="M29" s="2">
        <v>276859.5</v>
      </c>
    </row>
    <row r="30" spans="1:13" x14ac:dyDescent="0.25">
      <c r="A30" s="2" t="str">
        <f t="shared" ref="A30:A39" si="2">A29</f>
        <v>HUMAnN2</v>
      </c>
      <c r="B30" s="2" t="s">
        <v>44</v>
      </c>
      <c r="C30" s="3" t="s">
        <v>63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30415.5</v>
      </c>
      <c r="M30" s="2">
        <v>22140.5</v>
      </c>
    </row>
    <row r="31" spans="1:13" x14ac:dyDescent="0.25">
      <c r="A31" s="2" t="str">
        <f t="shared" si="2"/>
        <v>HUMAnN2</v>
      </c>
      <c r="B31" s="2" t="s">
        <v>45</v>
      </c>
      <c r="C31" s="3" t="s">
        <v>62</v>
      </c>
      <c r="D31" s="2">
        <v>52970.5</v>
      </c>
      <c r="E31" s="2">
        <v>0</v>
      </c>
      <c r="F31" s="2">
        <v>0</v>
      </c>
      <c r="G31" s="2">
        <v>0</v>
      </c>
      <c r="H31" s="2">
        <v>0</v>
      </c>
      <c r="I31" s="2">
        <v>691</v>
      </c>
      <c r="J31" s="2">
        <v>5742</v>
      </c>
      <c r="K31" s="2">
        <v>0</v>
      </c>
      <c r="L31" s="2">
        <v>161275</v>
      </c>
      <c r="M31" s="2">
        <f>5335</f>
        <v>5335</v>
      </c>
    </row>
    <row r="32" spans="1:13" x14ac:dyDescent="0.25">
      <c r="A32" s="2" t="str">
        <f t="shared" si="2"/>
        <v>HUMAnN2</v>
      </c>
      <c r="B32" s="2" t="s">
        <v>46</v>
      </c>
      <c r="C32" s="3" t="s">
        <v>61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1041</v>
      </c>
      <c r="K32" s="2">
        <v>0</v>
      </c>
      <c r="L32" s="2">
        <v>24722</v>
      </c>
      <c r="M32" s="2">
        <v>26949</v>
      </c>
    </row>
    <row r="33" spans="1:13" x14ac:dyDescent="0.25">
      <c r="A33" s="2" t="str">
        <f t="shared" si="2"/>
        <v>HUMAnN2</v>
      </c>
      <c r="B33" s="2" t="s">
        <v>47</v>
      </c>
      <c r="C33" s="3" t="s">
        <v>60</v>
      </c>
      <c r="D33" s="2">
        <v>43627.5</v>
      </c>
      <c r="E33" s="2">
        <v>0</v>
      </c>
      <c r="F33" s="2">
        <v>0</v>
      </c>
      <c r="G33" s="2">
        <v>0</v>
      </c>
      <c r="H33" s="2">
        <v>0</v>
      </c>
      <c r="I33" s="2">
        <v>1604.5</v>
      </c>
      <c r="J33" s="2">
        <v>11875.5</v>
      </c>
      <c r="K33" s="2">
        <v>0</v>
      </c>
      <c r="L33" s="2">
        <v>396621</v>
      </c>
      <c r="M33" s="2">
        <f>11352.5+10624</f>
        <v>21976.5</v>
      </c>
    </row>
    <row r="34" spans="1:13" x14ac:dyDescent="0.25">
      <c r="A34" s="2" t="str">
        <f t="shared" si="2"/>
        <v>HUMAnN2</v>
      </c>
      <c r="B34" s="2" t="s">
        <v>48</v>
      </c>
      <c r="C34" s="3" t="s">
        <v>59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646</v>
      </c>
      <c r="K34" s="2">
        <v>0</v>
      </c>
      <c r="L34" s="2">
        <v>29704</v>
      </c>
      <c r="M34" s="2">
        <v>0</v>
      </c>
    </row>
    <row r="35" spans="1:13" x14ac:dyDescent="0.25">
      <c r="A35" s="2" t="str">
        <f t="shared" si="2"/>
        <v>HUMAnN2</v>
      </c>
      <c r="B35" s="2" t="s">
        <v>49</v>
      </c>
      <c r="C35" s="3" t="s">
        <v>58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2437</v>
      </c>
      <c r="K35" s="2">
        <v>0</v>
      </c>
      <c r="L35" s="2">
        <v>65198</v>
      </c>
      <c r="M35" s="2">
        <v>0</v>
      </c>
    </row>
    <row r="36" spans="1:13" x14ac:dyDescent="0.25">
      <c r="A36" s="2" t="str">
        <f t="shared" si="2"/>
        <v>HUMAnN2</v>
      </c>
      <c r="B36" s="2" t="s">
        <v>50</v>
      </c>
      <c r="C36" s="3" t="s">
        <v>57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27771</v>
      </c>
      <c r="M36" s="2">
        <v>39799</v>
      </c>
    </row>
    <row r="37" spans="1:13" x14ac:dyDescent="0.25">
      <c r="A37" s="2" t="str">
        <f t="shared" si="2"/>
        <v>HUMAnN2</v>
      </c>
      <c r="B37" s="2" t="s">
        <v>53</v>
      </c>
      <c r="C37" s="3" t="s">
        <v>56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16847</v>
      </c>
      <c r="M37" s="2">
        <v>0</v>
      </c>
    </row>
    <row r="38" spans="1:13" x14ac:dyDescent="0.25">
      <c r="A38" s="2" t="str">
        <f t="shared" si="2"/>
        <v>HUMAnN2</v>
      </c>
      <c r="B38" s="2" t="s">
        <v>51</v>
      </c>
      <c r="C38" s="3" t="s">
        <v>55</v>
      </c>
      <c r="D38" s="2">
        <v>36448</v>
      </c>
      <c r="E38" s="2">
        <v>0</v>
      </c>
      <c r="F38" s="2">
        <v>0</v>
      </c>
      <c r="G38" s="2">
        <v>0</v>
      </c>
      <c r="H38" s="2">
        <v>0</v>
      </c>
      <c r="I38" s="2">
        <v>2317</v>
      </c>
      <c r="J38" s="2">
        <v>14568.5</v>
      </c>
      <c r="K38" s="2">
        <v>0</v>
      </c>
      <c r="L38" s="2">
        <v>404566</v>
      </c>
      <c r="M38" s="2">
        <f>55488</f>
        <v>55488</v>
      </c>
    </row>
    <row r="39" spans="1:13" x14ac:dyDescent="0.25">
      <c r="A39" s="2" t="str">
        <f t="shared" si="2"/>
        <v>HUMAnN2</v>
      </c>
      <c r="B39" s="2" t="s">
        <v>52</v>
      </c>
      <c r="C39" s="3" t="s">
        <v>54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14225</v>
      </c>
      <c r="M39" s="2">
        <v>0</v>
      </c>
    </row>
    <row r="40" spans="1:13" x14ac:dyDescent="0.25">
      <c r="A40" s="2" t="s">
        <v>41</v>
      </c>
      <c r="B40" s="2" t="s">
        <v>42</v>
      </c>
      <c r="C40" s="3" t="s">
        <v>65</v>
      </c>
      <c r="D40" s="2">
        <v>21800.5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863</v>
      </c>
      <c r="K40" s="2">
        <v>0</v>
      </c>
      <c r="L40" s="2">
        <v>110786.5</v>
      </c>
      <c r="M40" s="2">
        <v>2744</v>
      </c>
    </row>
    <row r="41" spans="1:13" x14ac:dyDescent="0.25">
      <c r="A41" s="2" t="str">
        <f>A40</f>
        <v>HUMAnN3</v>
      </c>
      <c r="B41" s="2" t="s">
        <v>43</v>
      </c>
      <c r="C41" s="3" t="s">
        <v>64</v>
      </c>
      <c r="D41" s="2">
        <v>22225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208</v>
      </c>
      <c r="K41" s="2">
        <v>0</v>
      </c>
      <c r="L41" s="2">
        <v>74914</v>
      </c>
      <c r="M41" s="2">
        <v>9674</v>
      </c>
    </row>
    <row r="42" spans="1:13" x14ac:dyDescent="0.25">
      <c r="A42" s="2" t="str">
        <f t="shared" ref="A42:A51" si="3">A41</f>
        <v>HUMAnN3</v>
      </c>
      <c r="B42" s="2" t="s">
        <v>44</v>
      </c>
      <c r="C42" s="3" t="s">
        <v>63</v>
      </c>
      <c r="D42" s="2">
        <v>4313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16345</v>
      </c>
      <c r="M42" s="2">
        <v>0</v>
      </c>
    </row>
    <row r="43" spans="1:13" x14ac:dyDescent="0.25">
      <c r="A43" s="2" t="str">
        <f t="shared" si="3"/>
        <v>HUMAnN3</v>
      </c>
      <c r="B43" s="2" t="s">
        <v>45</v>
      </c>
      <c r="C43" s="3" t="s">
        <v>62</v>
      </c>
      <c r="D43" s="2">
        <v>49118.5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1149.5</v>
      </c>
      <c r="K43" s="2">
        <v>0</v>
      </c>
      <c r="L43" s="2">
        <v>152446</v>
      </c>
      <c r="M43" s="2">
        <v>8013</v>
      </c>
    </row>
    <row r="44" spans="1:13" x14ac:dyDescent="0.25">
      <c r="A44" s="2" t="str">
        <f t="shared" si="3"/>
        <v>HUMAnN3</v>
      </c>
      <c r="B44" s="2" t="s">
        <v>46</v>
      </c>
      <c r="C44" s="3" t="s">
        <v>61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16555</v>
      </c>
      <c r="M44" s="2">
        <v>0</v>
      </c>
    </row>
    <row r="45" spans="1:13" x14ac:dyDescent="0.25">
      <c r="A45" s="2" t="str">
        <f t="shared" si="3"/>
        <v>HUMAnN3</v>
      </c>
      <c r="B45" s="2" t="s">
        <v>47</v>
      </c>
      <c r="C45" s="3" t="s">
        <v>60</v>
      </c>
      <c r="D45" s="2">
        <v>35260</v>
      </c>
      <c r="E45" s="2">
        <v>0</v>
      </c>
      <c r="F45" s="2">
        <v>0</v>
      </c>
      <c r="G45" s="2">
        <v>0</v>
      </c>
      <c r="H45" s="2">
        <v>0</v>
      </c>
      <c r="I45" s="2">
        <v>36</v>
      </c>
      <c r="J45" s="2">
        <v>4694</v>
      </c>
      <c r="K45" s="2">
        <v>0</v>
      </c>
      <c r="L45" s="2">
        <v>387577.5</v>
      </c>
      <c r="M45" s="2">
        <v>35700.5</v>
      </c>
    </row>
    <row r="46" spans="1:13" x14ac:dyDescent="0.25">
      <c r="A46" s="2" t="str">
        <f t="shared" si="3"/>
        <v>HUMAnN3</v>
      </c>
      <c r="B46" s="2" t="s">
        <v>48</v>
      </c>
      <c r="C46" s="3" t="s">
        <v>59</v>
      </c>
      <c r="D46" s="2">
        <v>4614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21114</v>
      </c>
      <c r="M46" s="2">
        <v>0</v>
      </c>
    </row>
    <row r="47" spans="1:13" x14ac:dyDescent="0.25">
      <c r="A47" s="2" t="str">
        <f t="shared" si="3"/>
        <v>HUMAnN3</v>
      </c>
      <c r="B47" s="2" t="s">
        <v>49</v>
      </c>
      <c r="C47" s="3" t="s">
        <v>58</v>
      </c>
      <c r="D47" s="2">
        <v>5887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121</v>
      </c>
      <c r="K47" s="2">
        <v>0</v>
      </c>
      <c r="L47" s="2">
        <v>22597</v>
      </c>
      <c r="M47" s="2">
        <v>2575</v>
      </c>
    </row>
    <row r="48" spans="1:13" x14ac:dyDescent="0.25">
      <c r="A48" s="2" t="str">
        <f t="shared" si="3"/>
        <v>HUMAnN3</v>
      </c>
      <c r="B48" s="2" t="s">
        <v>50</v>
      </c>
      <c r="C48" s="3" t="s">
        <v>57</v>
      </c>
      <c r="D48" s="2">
        <v>5256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14532</v>
      </c>
      <c r="M48" s="2">
        <v>8620</v>
      </c>
    </row>
    <row r="49" spans="1:13" x14ac:dyDescent="0.25">
      <c r="A49" s="2" t="str">
        <f t="shared" si="3"/>
        <v>HUMAnN3</v>
      </c>
      <c r="B49" s="2" t="s">
        <v>53</v>
      </c>
      <c r="C49" s="3" t="s">
        <v>56</v>
      </c>
      <c r="D49" s="2">
        <v>1134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12550</v>
      </c>
      <c r="M49" s="2">
        <v>0</v>
      </c>
    </row>
    <row r="50" spans="1:13" x14ac:dyDescent="0.25">
      <c r="A50" s="2" t="str">
        <f t="shared" si="3"/>
        <v>HUMAnN3</v>
      </c>
      <c r="B50" s="2" t="s">
        <v>51</v>
      </c>
      <c r="C50" s="3" t="s">
        <v>55</v>
      </c>
      <c r="D50" s="2">
        <v>17269</v>
      </c>
      <c r="E50" s="2">
        <v>0</v>
      </c>
      <c r="F50" s="2">
        <v>0</v>
      </c>
      <c r="G50" s="2">
        <v>0</v>
      </c>
      <c r="H50" s="2">
        <v>0</v>
      </c>
      <c r="I50" s="2">
        <v>190</v>
      </c>
      <c r="J50" s="2">
        <v>2788</v>
      </c>
      <c r="K50" s="2">
        <v>0</v>
      </c>
      <c r="L50" s="2">
        <v>395874</v>
      </c>
      <c r="M50" s="2">
        <f>1719+2307</f>
        <v>4026</v>
      </c>
    </row>
    <row r="51" spans="1:13" x14ac:dyDescent="0.25">
      <c r="A51" s="2" t="str">
        <f t="shared" si="3"/>
        <v>HUMAnN3</v>
      </c>
      <c r="B51" s="2" t="s">
        <v>52</v>
      </c>
      <c r="C51" s="3" t="s">
        <v>54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</row>
    <row r="52" spans="1:13" x14ac:dyDescent="0.25">
      <c r="A52" s="2" t="s">
        <v>38</v>
      </c>
      <c r="B52" s="2" t="s">
        <v>42</v>
      </c>
      <c r="C52" s="3" t="s">
        <v>65</v>
      </c>
      <c r="D52" s="2">
        <f>22356</f>
        <v>22356</v>
      </c>
      <c r="E52" s="2">
        <v>17</v>
      </c>
      <c r="F52" s="2">
        <v>28</v>
      </c>
      <c r="G52" s="2">
        <v>25</v>
      </c>
      <c r="H52" s="2">
        <v>0</v>
      </c>
      <c r="I52" s="2">
        <v>902</v>
      </c>
      <c r="J52" s="2">
        <v>4492</v>
      </c>
      <c r="K52" s="2">
        <v>702</v>
      </c>
      <c r="L52" s="2">
        <v>38781</v>
      </c>
      <c r="M52" s="2">
        <f>155947-L52</f>
        <v>117166</v>
      </c>
    </row>
    <row r="53" spans="1:13" x14ac:dyDescent="0.25">
      <c r="A53" s="2" t="str">
        <f>A52</f>
        <v>SAMSA2</v>
      </c>
      <c r="B53" s="2" t="s">
        <v>43</v>
      </c>
      <c r="C53" s="3" t="s">
        <v>64</v>
      </c>
      <c r="D53" s="2">
        <v>18524</v>
      </c>
      <c r="E53" s="2">
        <v>47</v>
      </c>
      <c r="F53" s="2">
        <v>2</v>
      </c>
      <c r="G53" s="2">
        <v>1</v>
      </c>
      <c r="H53" s="2">
        <v>0</v>
      </c>
      <c r="I53" s="2">
        <v>2535</v>
      </c>
      <c r="J53" s="2">
        <v>5554</v>
      </c>
      <c r="K53" s="2">
        <v>828</v>
      </c>
      <c r="L53" s="2">
        <v>31715</v>
      </c>
      <c r="M53" s="2">
        <f>136518-L53</f>
        <v>104803</v>
      </c>
    </row>
    <row r="54" spans="1:13" x14ac:dyDescent="0.25">
      <c r="A54" s="2" t="str">
        <f t="shared" ref="A54:A63" si="4">A53</f>
        <v>SAMSA2</v>
      </c>
      <c r="B54" s="2" t="s">
        <v>44</v>
      </c>
      <c r="C54" s="3" t="s">
        <v>63</v>
      </c>
      <c r="D54" s="2">
        <v>5824</v>
      </c>
      <c r="E54" s="2">
        <v>0</v>
      </c>
      <c r="F54" s="2">
        <v>0</v>
      </c>
      <c r="G54" s="2">
        <v>24</v>
      </c>
      <c r="H54" s="2">
        <v>0</v>
      </c>
      <c r="I54" s="2">
        <v>121</v>
      </c>
      <c r="J54" s="2">
        <v>544</v>
      </c>
      <c r="K54" s="2">
        <v>174</v>
      </c>
      <c r="L54" s="2">
        <v>4819</v>
      </c>
      <c r="M54" s="2">
        <f>29140-L54</f>
        <v>24321</v>
      </c>
    </row>
    <row r="55" spans="1:13" x14ac:dyDescent="0.25">
      <c r="A55" s="2" t="str">
        <f t="shared" si="4"/>
        <v>SAMSA2</v>
      </c>
      <c r="B55" s="2" t="s">
        <v>45</v>
      </c>
      <c r="C55" s="3" t="s">
        <v>62</v>
      </c>
      <c r="D55" s="2">
        <v>27185</v>
      </c>
      <c r="E55" s="2">
        <v>27</v>
      </c>
      <c r="F55" s="2">
        <v>51</v>
      </c>
      <c r="G55" s="2">
        <v>14</v>
      </c>
      <c r="H55" s="2">
        <v>0</v>
      </c>
      <c r="I55" s="2">
        <v>320</v>
      </c>
      <c r="J55" s="2">
        <v>3039</v>
      </c>
      <c r="K55" s="2">
        <v>524</v>
      </c>
      <c r="L55" s="2">
        <v>39935</v>
      </c>
      <c r="M55" s="2">
        <f>217613-L55</f>
        <v>177678</v>
      </c>
    </row>
    <row r="56" spans="1:13" x14ac:dyDescent="0.25">
      <c r="A56" s="2" t="str">
        <f t="shared" si="4"/>
        <v>SAMSA2</v>
      </c>
      <c r="B56" s="2" t="s">
        <v>46</v>
      </c>
      <c r="C56" s="3" t="s">
        <v>61</v>
      </c>
      <c r="D56" s="2">
        <v>2365</v>
      </c>
      <c r="E56" s="2">
        <v>1</v>
      </c>
      <c r="F56" s="2">
        <v>1</v>
      </c>
      <c r="G56" s="2">
        <v>1</v>
      </c>
      <c r="H56" s="2">
        <v>0</v>
      </c>
      <c r="I56" s="2">
        <v>237</v>
      </c>
      <c r="J56" s="2">
        <v>622</v>
      </c>
      <c r="K56" s="2">
        <v>122</v>
      </c>
      <c r="L56" s="2">
        <v>3873</v>
      </c>
      <c r="M56" s="2">
        <f>20863-L56</f>
        <v>16990</v>
      </c>
    </row>
    <row r="57" spans="1:13" x14ac:dyDescent="0.25">
      <c r="A57" s="2" t="str">
        <f t="shared" si="4"/>
        <v>SAMSA2</v>
      </c>
      <c r="B57" s="2" t="s">
        <v>47</v>
      </c>
      <c r="C57" s="3" t="s">
        <v>60</v>
      </c>
      <c r="D57" s="2">
        <v>22695</v>
      </c>
      <c r="E57" s="2">
        <v>25</v>
      </c>
      <c r="F57" s="2">
        <v>0</v>
      </c>
      <c r="G57" s="2">
        <v>45</v>
      </c>
      <c r="H57" s="2">
        <v>0</v>
      </c>
      <c r="I57" s="2">
        <v>763</v>
      </c>
      <c r="J57" s="2">
        <v>2712</v>
      </c>
      <c r="K57" s="2">
        <v>1079</v>
      </c>
      <c r="L57" s="2">
        <v>93262</v>
      </c>
      <c r="M57" s="2">
        <f>302160-L57</f>
        <v>208898</v>
      </c>
    </row>
    <row r="58" spans="1:13" x14ac:dyDescent="0.25">
      <c r="A58" s="2" t="str">
        <f t="shared" si="4"/>
        <v>SAMSA2</v>
      </c>
      <c r="B58" s="2" t="s">
        <v>48</v>
      </c>
      <c r="C58" s="3" t="s">
        <v>59</v>
      </c>
      <c r="D58" s="2">
        <v>3833</v>
      </c>
      <c r="E58" s="2">
        <v>0</v>
      </c>
      <c r="F58" s="2">
        <v>0</v>
      </c>
      <c r="G58" s="2">
        <v>0</v>
      </c>
      <c r="H58" s="2">
        <v>0</v>
      </c>
      <c r="I58" s="2">
        <v>490</v>
      </c>
      <c r="J58" s="2">
        <v>403</v>
      </c>
      <c r="K58" s="2">
        <v>254</v>
      </c>
      <c r="L58" s="2">
        <v>5365</v>
      </c>
      <c r="M58" s="2">
        <f>33467-L58</f>
        <v>28102</v>
      </c>
    </row>
    <row r="59" spans="1:13" x14ac:dyDescent="0.25">
      <c r="A59" s="2" t="str">
        <f t="shared" si="4"/>
        <v>SAMSA2</v>
      </c>
      <c r="B59" s="2" t="s">
        <v>49</v>
      </c>
      <c r="C59" s="3" t="s">
        <v>58</v>
      </c>
      <c r="D59" s="2">
        <v>6767</v>
      </c>
      <c r="E59" s="2">
        <v>2</v>
      </c>
      <c r="F59" s="2">
        <v>0</v>
      </c>
      <c r="G59" s="2">
        <v>2</v>
      </c>
      <c r="H59" s="2">
        <v>0</v>
      </c>
      <c r="I59" s="2">
        <v>595</v>
      </c>
      <c r="J59" s="2">
        <v>1678</v>
      </c>
      <c r="K59" s="2">
        <v>408</v>
      </c>
      <c r="L59" s="2">
        <v>15401</v>
      </c>
      <c r="M59" s="2">
        <f>53940-L59</f>
        <v>38539</v>
      </c>
    </row>
    <row r="60" spans="1:13" x14ac:dyDescent="0.25">
      <c r="A60" s="2" t="str">
        <f t="shared" si="4"/>
        <v>SAMSA2</v>
      </c>
      <c r="B60" s="2" t="s">
        <v>50</v>
      </c>
      <c r="C60" s="3" t="s">
        <v>57</v>
      </c>
      <c r="D60" s="2">
        <v>3657</v>
      </c>
      <c r="E60" s="2">
        <v>0</v>
      </c>
      <c r="F60" s="2">
        <v>0</v>
      </c>
      <c r="G60" s="2">
        <v>0</v>
      </c>
      <c r="H60" s="2">
        <v>0</v>
      </c>
      <c r="I60" s="2">
        <v>125</v>
      </c>
      <c r="J60" s="2">
        <v>348</v>
      </c>
      <c r="K60" s="2">
        <v>200</v>
      </c>
      <c r="L60" s="2">
        <v>3122</v>
      </c>
      <c r="M60" s="2">
        <f>17293 - L60</f>
        <v>14171</v>
      </c>
    </row>
    <row r="61" spans="1:13" x14ac:dyDescent="0.25">
      <c r="A61" s="2" t="str">
        <f t="shared" si="4"/>
        <v>SAMSA2</v>
      </c>
      <c r="B61" s="2" t="s">
        <v>53</v>
      </c>
      <c r="C61" s="3" t="s">
        <v>56</v>
      </c>
      <c r="D61" s="2">
        <v>895</v>
      </c>
      <c r="E61" s="2">
        <v>0</v>
      </c>
      <c r="F61" s="2">
        <v>0</v>
      </c>
      <c r="G61" s="2">
        <v>0</v>
      </c>
      <c r="H61" s="2">
        <v>0</v>
      </c>
      <c r="I61" s="2">
        <v>174</v>
      </c>
      <c r="J61" s="2">
        <v>129</v>
      </c>
      <c r="K61" s="2">
        <v>32</v>
      </c>
      <c r="L61" s="2">
        <v>1545</v>
      </c>
      <c r="M61" s="2">
        <f>26909-L61</f>
        <v>25364</v>
      </c>
    </row>
    <row r="62" spans="1:13" x14ac:dyDescent="0.25">
      <c r="A62" s="2" t="str">
        <f t="shared" si="4"/>
        <v>SAMSA2</v>
      </c>
      <c r="B62" s="2" t="s">
        <v>51</v>
      </c>
      <c r="C62" s="3" t="s">
        <v>55</v>
      </c>
      <c r="D62" s="2">
        <v>20272</v>
      </c>
      <c r="E62" s="2">
        <v>1</v>
      </c>
      <c r="F62" s="2">
        <v>5</v>
      </c>
      <c r="G62" s="2">
        <v>3</v>
      </c>
      <c r="H62" s="2">
        <v>0</v>
      </c>
      <c r="I62" s="2">
        <v>1485</v>
      </c>
      <c r="J62" s="2">
        <v>9325</v>
      </c>
      <c r="K62" s="2">
        <v>2683</v>
      </c>
      <c r="L62" s="2">
        <v>113320</v>
      </c>
      <c r="M62" s="2">
        <f>305451-L62</f>
        <v>192131</v>
      </c>
    </row>
    <row r="63" spans="1:13" x14ac:dyDescent="0.25">
      <c r="A63" s="2" t="str">
        <f t="shared" si="4"/>
        <v>SAMSA2</v>
      </c>
      <c r="B63" s="2" t="s">
        <v>52</v>
      </c>
      <c r="C63" s="3" t="s">
        <v>54</v>
      </c>
      <c r="D63" s="2">
        <v>878</v>
      </c>
      <c r="E63" s="2">
        <v>0</v>
      </c>
      <c r="F63" s="2">
        <v>0</v>
      </c>
      <c r="G63" s="2">
        <v>0</v>
      </c>
      <c r="H63" s="2">
        <v>0</v>
      </c>
      <c r="I63" s="2">
        <v>16</v>
      </c>
      <c r="J63" s="2">
        <v>179</v>
      </c>
      <c r="K63" s="2">
        <v>47</v>
      </c>
      <c r="L63" s="2">
        <v>1490</v>
      </c>
      <c r="M63" s="2">
        <f>10196-SUM(D63:L63)</f>
        <v>7586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20"/>
  <sheetViews>
    <sheetView workbookViewId="0">
      <pane xSplit="1" topLeftCell="B1" activePane="topRight" state="frozen"/>
      <selection pane="topRight" activeCell="L19" sqref="L19"/>
    </sheetView>
  </sheetViews>
  <sheetFormatPr defaultRowHeight="15" x14ac:dyDescent="0.25"/>
  <cols>
    <col min="1" max="1" width="44.140625" customWidth="1"/>
  </cols>
  <sheetData>
    <row r="1" spans="1:52" x14ac:dyDescent="0.25">
      <c r="B1" t="s">
        <v>0</v>
      </c>
      <c r="O1" t="s">
        <v>1</v>
      </c>
      <c r="AC1" t="s">
        <v>2</v>
      </c>
      <c r="AP1" t="s">
        <v>3</v>
      </c>
    </row>
    <row r="2" spans="1:52" x14ac:dyDescent="0.25"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  <c r="L2" t="s">
        <v>14</v>
      </c>
      <c r="M2" t="s">
        <v>15</v>
      </c>
      <c r="O2" t="s">
        <v>4</v>
      </c>
      <c r="P2" t="s">
        <v>5</v>
      </c>
      <c r="Q2" t="s">
        <v>6</v>
      </c>
      <c r="R2" t="s">
        <v>7</v>
      </c>
      <c r="S2" t="s">
        <v>8</v>
      </c>
      <c r="T2" t="s">
        <v>9</v>
      </c>
      <c r="U2" t="s">
        <v>10</v>
      </c>
      <c r="V2" t="s">
        <v>11</v>
      </c>
      <c r="W2" t="s">
        <v>12</v>
      </c>
      <c r="X2" t="s">
        <v>13</v>
      </c>
      <c r="Y2" t="s">
        <v>14</v>
      </c>
      <c r="Z2" t="s">
        <v>15</v>
      </c>
      <c r="AB2" t="s">
        <v>4</v>
      </c>
      <c r="AC2" t="s">
        <v>5</v>
      </c>
      <c r="AD2" t="s">
        <v>6</v>
      </c>
      <c r="AE2" t="s">
        <v>7</v>
      </c>
      <c r="AF2" t="s">
        <v>8</v>
      </c>
      <c r="AG2" t="s">
        <v>9</v>
      </c>
      <c r="AH2" t="s">
        <v>10</v>
      </c>
      <c r="AI2" t="s">
        <v>11</v>
      </c>
      <c r="AJ2" t="s">
        <v>12</v>
      </c>
      <c r="AK2" t="s">
        <v>13</v>
      </c>
      <c r="AL2" t="s">
        <v>14</v>
      </c>
      <c r="AM2" t="s">
        <v>15</v>
      </c>
      <c r="AO2" t="s">
        <v>4</v>
      </c>
      <c r="AP2" t="s">
        <v>5</v>
      </c>
      <c r="AQ2" t="s">
        <v>6</v>
      </c>
      <c r="AR2" t="s">
        <v>7</v>
      </c>
      <c r="AS2" t="s">
        <v>8</v>
      </c>
      <c r="AT2" t="s">
        <v>9</v>
      </c>
      <c r="AU2" t="s">
        <v>10</v>
      </c>
      <c r="AV2" t="s">
        <v>11</v>
      </c>
      <c r="AW2" t="s">
        <v>12</v>
      </c>
      <c r="AX2" t="s">
        <v>13</v>
      </c>
      <c r="AY2" t="s">
        <v>14</v>
      </c>
      <c r="AZ2" t="s">
        <v>15</v>
      </c>
    </row>
    <row r="3" spans="1:52" x14ac:dyDescent="0.25">
      <c r="A3" t="s">
        <v>16</v>
      </c>
      <c r="B3">
        <v>145741</v>
      </c>
      <c r="C3">
        <v>188639</v>
      </c>
      <c r="D3">
        <v>213818</v>
      </c>
      <c r="E3">
        <v>183712</v>
      </c>
      <c r="F3">
        <v>128757</v>
      </c>
      <c r="G3">
        <v>214094</v>
      </c>
      <c r="H3">
        <v>69622</v>
      </c>
      <c r="I3">
        <v>107432</v>
      </c>
      <c r="J3">
        <v>303887</v>
      </c>
      <c r="K3">
        <v>145741</v>
      </c>
      <c r="L3">
        <v>143009</v>
      </c>
      <c r="M3">
        <v>207430</v>
      </c>
      <c r="O3">
        <v>60823</v>
      </c>
      <c r="P3">
        <v>60730</v>
      </c>
      <c r="Q3">
        <v>14334</v>
      </c>
      <c r="R3">
        <v>97767</v>
      </c>
      <c r="S3">
        <v>7133</v>
      </c>
      <c r="T3">
        <v>85828</v>
      </c>
      <c r="U3">
        <v>11782</v>
      </c>
      <c r="V3">
        <v>19374</v>
      </c>
      <c r="W3">
        <v>20652</v>
      </c>
      <c r="X3">
        <v>3096</v>
      </c>
      <c r="Y3">
        <v>46295</v>
      </c>
      <c r="Z3">
        <v>5095</v>
      </c>
      <c r="AB3">
        <v>37989</v>
      </c>
      <c r="AC3">
        <v>0</v>
      </c>
      <c r="AD3">
        <v>0</v>
      </c>
      <c r="AE3">
        <v>52933</v>
      </c>
      <c r="AF3">
        <v>0</v>
      </c>
      <c r="AG3">
        <v>43595</v>
      </c>
      <c r="AH3">
        <v>0</v>
      </c>
      <c r="AI3">
        <v>0</v>
      </c>
      <c r="AJ3">
        <v>0</v>
      </c>
      <c r="AK3">
        <v>0</v>
      </c>
      <c r="AL3">
        <v>36441</v>
      </c>
      <c r="AM3">
        <v>0</v>
      </c>
      <c r="AO3">
        <f>22356</f>
        <v>22356</v>
      </c>
      <c r="AP3">
        <v>18524</v>
      </c>
      <c r="AQ3">
        <v>5824</v>
      </c>
      <c r="AR3">
        <v>27185</v>
      </c>
      <c r="AS3">
        <v>2365</v>
      </c>
      <c r="AT3">
        <v>22695</v>
      </c>
      <c r="AU3">
        <v>3833</v>
      </c>
      <c r="AV3">
        <v>6767</v>
      </c>
      <c r="AW3">
        <v>3657</v>
      </c>
      <c r="AX3">
        <v>895</v>
      </c>
      <c r="AY3">
        <v>20272</v>
      </c>
      <c r="AZ3">
        <v>878</v>
      </c>
    </row>
    <row r="4" spans="1:52" x14ac:dyDescent="0.25">
      <c r="A4" t="s">
        <v>17</v>
      </c>
      <c r="B4">
        <v>12824</v>
      </c>
      <c r="C4">
        <v>23843</v>
      </c>
      <c r="D4">
        <v>16643</v>
      </c>
      <c r="E4">
        <v>7525</v>
      </c>
      <c r="F4">
        <v>17631</v>
      </c>
      <c r="G4">
        <v>19784</v>
      </c>
      <c r="H4">
        <v>12255</v>
      </c>
      <c r="I4">
        <v>10089</v>
      </c>
      <c r="J4">
        <v>28847</v>
      </c>
      <c r="K4">
        <v>12824</v>
      </c>
      <c r="L4">
        <v>9270</v>
      </c>
      <c r="M4">
        <v>12593</v>
      </c>
      <c r="O4">
        <v>23</v>
      </c>
      <c r="P4">
        <v>2</v>
      </c>
      <c r="Q4">
        <v>1</v>
      </c>
      <c r="R4">
        <v>28</v>
      </c>
      <c r="S4">
        <v>0</v>
      </c>
      <c r="T4">
        <v>84</v>
      </c>
      <c r="U4">
        <v>1</v>
      </c>
      <c r="V4">
        <v>3</v>
      </c>
      <c r="W4">
        <v>0</v>
      </c>
      <c r="X4">
        <v>0</v>
      </c>
      <c r="Y4">
        <v>9</v>
      </c>
      <c r="Z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O4">
        <v>17</v>
      </c>
      <c r="AP4">
        <v>47</v>
      </c>
      <c r="AQ4">
        <v>0</v>
      </c>
      <c r="AR4">
        <v>27</v>
      </c>
      <c r="AS4">
        <v>1</v>
      </c>
      <c r="AT4">
        <v>25</v>
      </c>
      <c r="AU4">
        <v>0</v>
      </c>
      <c r="AV4">
        <v>2</v>
      </c>
      <c r="AW4">
        <v>0</v>
      </c>
      <c r="AX4">
        <v>0</v>
      </c>
      <c r="AY4">
        <v>1</v>
      </c>
      <c r="AZ4">
        <v>0</v>
      </c>
    </row>
    <row r="5" spans="1:52" x14ac:dyDescent="0.25">
      <c r="A5" t="s">
        <v>18</v>
      </c>
      <c r="B5">
        <v>2876</v>
      </c>
      <c r="C5">
        <v>1858</v>
      </c>
      <c r="D5">
        <v>5230</v>
      </c>
      <c r="E5">
        <v>1870</v>
      </c>
      <c r="F5">
        <v>4465</v>
      </c>
      <c r="G5">
        <v>5387</v>
      </c>
      <c r="H5">
        <v>2520</v>
      </c>
      <c r="I5">
        <v>790</v>
      </c>
      <c r="J5">
        <v>4673</v>
      </c>
      <c r="K5">
        <v>2876</v>
      </c>
      <c r="L5">
        <v>1081</v>
      </c>
      <c r="M5">
        <v>2494</v>
      </c>
      <c r="O5">
        <v>30</v>
      </c>
      <c r="P5">
        <v>0</v>
      </c>
      <c r="Q5">
        <v>1</v>
      </c>
      <c r="R5">
        <v>69</v>
      </c>
      <c r="S5">
        <v>0</v>
      </c>
      <c r="T5">
        <v>160</v>
      </c>
      <c r="U5">
        <v>2</v>
      </c>
      <c r="V5">
        <v>1</v>
      </c>
      <c r="W5">
        <v>0</v>
      </c>
      <c r="X5">
        <v>1</v>
      </c>
      <c r="Y5">
        <v>34</v>
      </c>
      <c r="Z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O5">
        <v>28</v>
      </c>
      <c r="AP5">
        <v>2</v>
      </c>
      <c r="AQ5">
        <v>0</v>
      </c>
      <c r="AR5">
        <v>51</v>
      </c>
      <c r="AS5">
        <v>1</v>
      </c>
      <c r="AT5">
        <v>0</v>
      </c>
      <c r="AU5">
        <v>0</v>
      </c>
      <c r="AV5">
        <v>0</v>
      </c>
      <c r="AW5">
        <v>0</v>
      </c>
      <c r="AX5">
        <v>0</v>
      </c>
      <c r="AY5">
        <v>5</v>
      </c>
      <c r="AZ5">
        <v>0</v>
      </c>
    </row>
    <row r="6" spans="1:52" x14ac:dyDescent="0.25">
      <c r="A6" t="s">
        <v>19</v>
      </c>
      <c r="B6">
        <v>298</v>
      </c>
      <c r="C6">
        <v>79</v>
      </c>
      <c r="D6">
        <v>310</v>
      </c>
      <c r="E6">
        <v>185</v>
      </c>
      <c r="F6">
        <v>306</v>
      </c>
      <c r="G6">
        <v>548</v>
      </c>
      <c r="H6">
        <v>224</v>
      </c>
      <c r="I6">
        <v>54</v>
      </c>
      <c r="J6">
        <v>282</v>
      </c>
      <c r="K6">
        <v>298</v>
      </c>
      <c r="L6">
        <v>87</v>
      </c>
      <c r="M6">
        <v>142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O6">
        <v>25</v>
      </c>
      <c r="AP6">
        <v>1</v>
      </c>
      <c r="AQ6">
        <v>24</v>
      </c>
      <c r="AR6">
        <v>14</v>
      </c>
      <c r="AS6">
        <v>1</v>
      </c>
      <c r="AT6">
        <v>45</v>
      </c>
      <c r="AU6">
        <v>0</v>
      </c>
      <c r="AV6">
        <v>2</v>
      </c>
      <c r="AW6">
        <v>0</v>
      </c>
      <c r="AX6">
        <v>0</v>
      </c>
      <c r="AY6">
        <v>3</v>
      </c>
      <c r="AZ6">
        <v>0</v>
      </c>
    </row>
    <row r="7" spans="1:52" x14ac:dyDescent="0.25">
      <c r="A7" t="s">
        <v>20</v>
      </c>
      <c r="B7">
        <v>87</v>
      </c>
      <c r="C7">
        <v>30</v>
      </c>
      <c r="D7">
        <v>77</v>
      </c>
      <c r="E7">
        <v>73</v>
      </c>
      <c r="F7">
        <v>82</v>
      </c>
      <c r="G7">
        <v>117</v>
      </c>
      <c r="H7">
        <v>68</v>
      </c>
      <c r="I7">
        <v>27</v>
      </c>
      <c r="J7">
        <v>98</v>
      </c>
      <c r="K7">
        <v>87</v>
      </c>
      <c r="L7">
        <v>320</v>
      </c>
      <c r="M7">
        <v>38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</row>
    <row r="8" spans="1:52" x14ac:dyDescent="0.25">
      <c r="A8" t="s">
        <v>21</v>
      </c>
      <c r="B8">
        <v>11054</v>
      </c>
      <c r="C8">
        <v>11820</v>
      </c>
      <c r="D8">
        <v>7415</v>
      </c>
      <c r="E8">
        <v>3053</v>
      </c>
      <c r="F8">
        <v>8161</v>
      </c>
      <c r="G8">
        <v>6391</v>
      </c>
      <c r="H8">
        <v>11543</v>
      </c>
      <c r="I8">
        <v>3307</v>
      </c>
      <c r="J8">
        <v>10986</v>
      </c>
      <c r="K8">
        <v>11054</v>
      </c>
      <c r="L8">
        <v>8632</v>
      </c>
      <c r="M8">
        <v>3449</v>
      </c>
      <c r="O8">
        <v>2237</v>
      </c>
      <c r="P8">
        <v>5588</v>
      </c>
      <c r="Q8">
        <v>481</v>
      </c>
      <c r="R8">
        <v>1032</v>
      </c>
      <c r="S8">
        <v>605</v>
      </c>
      <c r="T8">
        <v>2470</v>
      </c>
      <c r="U8">
        <v>1315</v>
      </c>
      <c r="V8">
        <v>1309</v>
      </c>
      <c r="W8">
        <v>410</v>
      </c>
      <c r="X8">
        <v>515</v>
      </c>
      <c r="Y8">
        <v>3051</v>
      </c>
      <c r="Z8">
        <v>92</v>
      </c>
      <c r="AB8">
        <v>1682</v>
      </c>
      <c r="AC8">
        <v>0</v>
      </c>
      <c r="AD8">
        <v>0</v>
      </c>
      <c r="AE8">
        <v>691</v>
      </c>
      <c r="AF8">
        <v>0</v>
      </c>
      <c r="AG8">
        <v>1603</v>
      </c>
      <c r="AH8">
        <v>0</v>
      </c>
      <c r="AI8">
        <v>0</v>
      </c>
      <c r="AJ8">
        <v>0</v>
      </c>
      <c r="AK8">
        <v>0</v>
      </c>
      <c r="AL8">
        <v>2312</v>
      </c>
      <c r="AM8">
        <v>0</v>
      </c>
      <c r="AO8">
        <v>902</v>
      </c>
      <c r="AP8">
        <v>2535</v>
      </c>
      <c r="AQ8">
        <v>121</v>
      </c>
      <c r="AR8">
        <v>320</v>
      </c>
      <c r="AS8">
        <v>237</v>
      </c>
      <c r="AT8">
        <v>763</v>
      </c>
      <c r="AU8">
        <v>490</v>
      </c>
      <c r="AV8">
        <v>595</v>
      </c>
      <c r="AW8">
        <v>125</v>
      </c>
      <c r="AX8">
        <v>174</v>
      </c>
      <c r="AY8">
        <v>1485</v>
      </c>
      <c r="AZ8">
        <v>16</v>
      </c>
    </row>
    <row r="9" spans="1:52" x14ac:dyDescent="0.25">
      <c r="A9" t="s">
        <v>22</v>
      </c>
      <c r="B9">
        <v>41422</v>
      </c>
      <c r="C9">
        <v>32950</v>
      </c>
      <c r="D9">
        <v>28589</v>
      </c>
      <c r="E9">
        <v>45120</v>
      </c>
      <c r="F9">
        <v>29472</v>
      </c>
      <c r="G9">
        <v>90660</v>
      </c>
      <c r="H9">
        <v>8626</v>
      </c>
      <c r="I9">
        <v>13639</v>
      </c>
      <c r="J9">
        <v>43517</v>
      </c>
      <c r="K9">
        <v>41422</v>
      </c>
      <c r="L9">
        <v>112276</v>
      </c>
      <c r="M9">
        <v>31260</v>
      </c>
      <c r="O9">
        <v>8876</v>
      </c>
      <c r="P9">
        <v>9203</v>
      </c>
      <c r="Q9">
        <v>1232</v>
      </c>
      <c r="R9">
        <v>8488</v>
      </c>
      <c r="S9">
        <v>1491</v>
      </c>
      <c r="T9">
        <v>18270</v>
      </c>
      <c r="U9">
        <v>856</v>
      </c>
      <c r="V9">
        <v>3273</v>
      </c>
      <c r="W9">
        <v>1070</v>
      </c>
      <c r="X9">
        <v>429</v>
      </c>
      <c r="Y9">
        <v>18518</v>
      </c>
      <c r="Z9">
        <v>798</v>
      </c>
      <c r="AB9">
        <v>6798</v>
      </c>
      <c r="AC9">
        <v>7202</v>
      </c>
      <c r="AD9">
        <v>0</v>
      </c>
      <c r="AE9">
        <v>5739</v>
      </c>
      <c r="AF9">
        <v>1041</v>
      </c>
      <c r="AG9">
        <v>11869</v>
      </c>
      <c r="AH9">
        <v>644</v>
      </c>
      <c r="AI9">
        <v>2437</v>
      </c>
      <c r="AJ9">
        <v>0</v>
      </c>
      <c r="AK9">
        <v>0</v>
      </c>
      <c r="AL9">
        <v>14568</v>
      </c>
      <c r="AM9">
        <v>0</v>
      </c>
      <c r="AO9">
        <v>4492</v>
      </c>
      <c r="AP9">
        <v>5554</v>
      </c>
      <c r="AQ9">
        <v>544</v>
      </c>
      <c r="AR9">
        <v>3039</v>
      </c>
      <c r="AS9">
        <v>622</v>
      </c>
      <c r="AT9">
        <v>2712</v>
      </c>
      <c r="AU9">
        <v>403</v>
      </c>
      <c r="AV9">
        <v>1678</v>
      </c>
      <c r="AW9">
        <v>348</v>
      </c>
      <c r="AX9">
        <v>129</v>
      </c>
      <c r="AY9">
        <v>9325</v>
      </c>
      <c r="AZ9">
        <v>179</v>
      </c>
    </row>
    <row r="10" spans="1:52" x14ac:dyDescent="0.25">
      <c r="A10" t="s">
        <v>23</v>
      </c>
      <c r="B10">
        <v>514248</v>
      </c>
      <c r="C10">
        <v>613100</v>
      </c>
      <c r="D10">
        <v>541963</v>
      </c>
      <c r="E10">
        <v>345596</v>
      </c>
      <c r="F10">
        <v>327635</v>
      </c>
      <c r="G10">
        <v>770413</v>
      </c>
      <c r="H10">
        <v>351293</v>
      </c>
      <c r="I10">
        <v>271242</v>
      </c>
      <c r="J10">
        <v>473363</v>
      </c>
      <c r="K10">
        <v>514248</v>
      </c>
      <c r="L10">
        <v>669047</v>
      </c>
      <c r="M10">
        <v>323133</v>
      </c>
      <c r="O10">
        <v>112486</v>
      </c>
      <c r="P10">
        <v>89918</v>
      </c>
      <c r="Q10">
        <v>14059</v>
      </c>
      <c r="R10">
        <v>134244</v>
      </c>
      <c r="S10">
        <v>15309</v>
      </c>
      <c r="T10">
        <v>478822</v>
      </c>
      <c r="U10">
        <v>18893</v>
      </c>
      <c r="V10">
        <v>42066</v>
      </c>
      <c r="W10">
        <v>17349</v>
      </c>
      <c r="X10">
        <v>5774</v>
      </c>
      <c r="Y10">
        <v>266841</v>
      </c>
      <c r="Z10">
        <v>9314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O10">
        <v>702</v>
      </c>
      <c r="AP10">
        <v>828</v>
      </c>
      <c r="AQ10">
        <v>174</v>
      </c>
      <c r="AR10">
        <v>524</v>
      </c>
      <c r="AS10">
        <v>122</v>
      </c>
      <c r="AT10">
        <v>1079</v>
      </c>
      <c r="AU10">
        <v>254</v>
      </c>
      <c r="AV10">
        <v>408</v>
      </c>
      <c r="AW10">
        <v>200</v>
      </c>
      <c r="AX10">
        <v>32</v>
      </c>
      <c r="AY10">
        <v>2683</v>
      </c>
      <c r="AZ10">
        <v>47</v>
      </c>
    </row>
    <row r="11" spans="1:52" x14ac:dyDescent="0.25">
      <c r="A11" t="s">
        <v>24</v>
      </c>
      <c r="O11">
        <f xml:space="preserve"> 295824 - SUM(O3:O10)</f>
        <v>111349</v>
      </c>
      <c r="P11">
        <f xml:space="preserve"> 254953 - SUM(P3:P10)</f>
        <v>89512</v>
      </c>
      <c r="Q11">
        <f xml:space="preserve"> 65647 - SUM(Q3:Q10)</f>
        <v>35539</v>
      </c>
      <c r="R11">
        <f xml:space="preserve"> 423908 - SUM(R3:R10)</f>
        <v>182280</v>
      </c>
      <c r="S11">
        <f xml:space="preserve"> 56727 - SUM(S3:S10)</f>
        <v>32189</v>
      </c>
      <c r="T11">
        <f xml:space="preserve"> 854575 - SUM(T3:T10)</f>
        <v>268941</v>
      </c>
      <c r="U11">
        <f xml:space="preserve"> 69794 - SUM(U3:U10)</f>
        <v>36945</v>
      </c>
      <c r="V11">
        <f xml:space="preserve"> 137535 - SUM(V3:V10)</f>
        <v>71509</v>
      </c>
      <c r="W11">
        <f xml:space="preserve"> 81151 - SUM(W3:W10)</f>
        <v>41670</v>
      </c>
      <c r="X11">
        <f xml:space="preserve"> 32247 - SUM(X3:X10)</f>
        <v>22432</v>
      </c>
      <c r="Y11">
        <f xml:space="preserve"> 562843 - SUM(Y3:Y10)</f>
        <v>228095</v>
      </c>
      <c r="Z11">
        <f xml:space="preserve"> 35132 - SUM(Z3:Z10)</f>
        <v>19833</v>
      </c>
      <c r="AB11">
        <f>141421+4212+124805</f>
        <v>270438</v>
      </c>
      <c r="AC11">
        <f>266340+151482+188175</f>
        <v>605997</v>
      </c>
      <c r="AD11">
        <f>190152+14608+30326</f>
        <v>235086</v>
      </c>
      <c r="AE11">
        <f>159686+161145+5318</f>
        <v>326149</v>
      </c>
      <c r="AF11">
        <f>302828+26486+24650</f>
        <v>353964</v>
      </c>
      <c r="AG11">
        <f>396374+9830+10553+135214</f>
        <v>551971</v>
      </c>
      <c r="AH11">
        <f>29583+172819</f>
        <v>202402</v>
      </c>
      <c r="AI11">
        <f>65137+71546</f>
        <v>136683</v>
      </c>
      <c r="AJ11">
        <f>227834+17719+27691</f>
        <v>273244</v>
      </c>
      <c r="AK11">
        <f>361977+15713</f>
        <v>377690</v>
      </c>
      <c r="AL11">
        <f>404458+52017+89460</f>
        <v>545935</v>
      </c>
      <c r="AM11">
        <f xml:space="preserve"> 102713+14197</f>
        <v>116910</v>
      </c>
      <c r="AO11">
        <v>155947</v>
      </c>
      <c r="AP11">
        <v>136518</v>
      </c>
      <c r="AQ11">
        <v>29140</v>
      </c>
      <c r="AR11">
        <v>217613</v>
      </c>
      <c r="AS11">
        <v>20863</v>
      </c>
      <c r="AT11">
        <v>302160</v>
      </c>
      <c r="AU11">
        <v>33467</v>
      </c>
      <c r="AV11">
        <v>53940</v>
      </c>
      <c r="AW11">
        <v>17293</v>
      </c>
      <c r="AX11">
        <v>26909</v>
      </c>
      <c r="AY11">
        <v>305451</v>
      </c>
      <c r="AZ11">
        <f>10196-SUM(AZ3:AZ10)</f>
        <v>9076</v>
      </c>
    </row>
    <row r="14" spans="1:52" x14ac:dyDescent="0.25">
      <c r="B14">
        <v>70</v>
      </c>
      <c r="C14">
        <v>69</v>
      </c>
      <c r="D14">
        <v>68</v>
      </c>
      <c r="E14">
        <v>67</v>
      </c>
      <c r="F14" t="s">
        <v>25</v>
      </c>
      <c r="H14">
        <v>70</v>
      </c>
      <c r="I14">
        <v>69</v>
      </c>
      <c r="J14">
        <v>68</v>
      </c>
      <c r="K14">
        <v>67</v>
      </c>
      <c r="L14" t="s">
        <v>26</v>
      </c>
      <c r="N14" t="s">
        <v>27</v>
      </c>
      <c r="O14">
        <v>67</v>
      </c>
      <c r="P14">
        <v>68</v>
      </c>
      <c r="Q14">
        <v>69</v>
      </c>
      <c r="R14">
        <v>70</v>
      </c>
      <c r="T14" t="s">
        <v>28</v>
      </c>
      <c r="U14">
        <v>67</v>
      </c>
      <c r="V14">
        <v>68</v>
      </c>
      <c r="W14">
        <v>69</v>
      </c>
      <c r="X14">
        <v>70</v>
      </c>
    </row>
    <row r="15" spans="1:52" x14ac:dyDescent="0.25">
      <c r="A15" t="s">
        <v>29</v>
      </c>
      <c r="B15">
        <v>948689</v>
      </c>
      <c r="C15">
        <v>1205383</v>
      </c>
      <c r="D15">
        <v>1093027</v>
      </c>
      <c r="E15">
        <v>3013422</v>
      </c>
      <c r="F15">
        <f>1770984</f>
        <v>1770984</v>
      </c>
      <c r="H15">
        <v>444698</v>
      </c>
      <c r="I15">
        <v>217350</v>
      </c>
      <c r="J15">
        <v>615546</v>
      </c>
      <c r="K15">
        <v>1398684</v>
      </c>
      <c r="L15">
        <v>288872</v>
      </c>
      <c r="N15">
        <v>0</v>
      </c>
      <c r="O15">
        <v>1623644</v>
      </c>
      <c r="P15">
        <v>832449</v>
      </c>
      <c r="Q15">
        <v>788076</v>
      </c>
      <c r="R15">
        <v>718932</v>
      </c>
      <c r="T15">
        <v>192774</v>
      </c>
      <c r="U15">
        <v>934483</v>
      </c>
      <c r="V15">
        <v>499711</v>
      </c>
      <c r="W15">
        <v>164373</v>
      </c>
      <c r="X15">
        <v>272178</v>
      </c>
    </row>
    <row r="16" spans="1:52" x14ac:dyDescent="0.25">
      <c r="A16" t="s">
        <v>30</v>
      </c>
      <c r="B16">
        <v>5975990</v>
      </c>
      <c r="C16">
        <v>1651824</v>
      </c>
      <c r="D16">
        <v>4834264</v>
      </c>
      <c r="E16">
        <v>2323617</v>
      </c>
      <c r="F16">
        <f>60021</f>
        <v>60021</v>
      </c>
      <c r="H16">
        <v>2101562</v>
      </c>
      <c r="I16">
        <v>121170</v>
      </c>
      <c r="J16">
        <v>2817361</v>
      </c>
      <c r="K16">
        <v>1594982</v>
      </c>
      <c r="L16">
        <v>16918</v>
      </c>
      <c r="N16">
        <v>0</v>
      </c>
      <c r="O16">
        <v>1120935</v>
      </c>
      <c r="P16">
        <v>2136180</v>
      </c>
      <c r="Q16">
        <v>63752</v>
      </c>
      <c r="R16">
        <v>1624114</v>
      </c>
      <c r="T16">
        <v>8508</v>
      </c>
      <c r="U16">
        <v>619965</v>
      </c>
      <c r="V16">
        <v>1286424</v>
      </c>
      <c r="W16">
        <v>46707</v>
      </c>
      <c r="X16">
        <v>1132447</v>
      </c>
    </row>
    <row r="17" spans="1:24" x14ac:dyDescent="0.25">
      <c r="A17" t="s">
        <v>31</v>
      </c>
      <c r="B17">
        <v>3886793</v>
      </c>
      <c r="C17">
        <v>4973380</v>
      </c>
      <c r="D17">
        <v>7714934</v>
      </c>
      <c r="E17">
        <v>2738746</v>
      </c>
      <c r="F17">
        <f>74203</f>
        <v>74203</v>
      </c>
      <c r="H17">
        <v>1495785</v>
      </c>
      <c r="I17">
        <v>1368712</v>
      </c>
      <c r="J17">
        <v>3973037</v>
      </c>
      <c r="K17">
        <v>1213922</v>
      </c>
      <c r="L17">
        <v>24452</v>
      </c>
      <c r="N17">
        <v>0</v>
      </c>
      <c r="O17">
        <v>912372</v>
      </c>
      <c r="P17">
        <v>3112626</v>
      </c>
      <c r="Q17">
        <v>1018577</v>
      </c>
      <c r="R17">
        <v>1085770</v>
      </c>
      <c r="T17">
        <v>2033</v>
      </c>
      <c r="U17">
        <v>605963</v>
      </c>
      <c r="V17">
        <v>2287682</v>
      </c>
      <c r="W17">
        <v>781765</v>
      </c>
      <c r="X17">
        <v>874231</v>
      </c>
    </row>
    <row r="18" spans="1:24" x14ac:dyDescent="0.25">
      <c r="A18" t="s">
        <v>32</v>
      </c>
      <c r="B18">
        <v>262316</v>
      </c>
      <c r="C18">
        <v>751355</v>
      </c>
      <c r="D18">
        <v>439276</v>
      </c>
      <c r="E18">
        <v>860343</v>
      </c>
      <c r="F18">
        <f>307427</f>
        <v>307427</v>
      </c>
      <c r="H18">
        <v>41057</v>
      </c>
      <c r="I18">
        <v>109486</v>
      </c>
      <c r="J18">
        <v>143567</v>
      </c>
      <c r="K18">
        <v>262278</v>
      </c>
      <c r="L18">
        <v>714</v>
      </c>
      <c r="N18">
        <v>0</v>
      </c>
      <c r="O18">
        <v>0</v>
      </c>
      <c r="P18">
        <v>110674</v>
      </c>
      <c r="Q18">
        <v>90518</v>
      </c>
      <c r="R18">
        <v>44921</v>
      </c>
      <c r="T18">
        <v>6253</v>
      </c>
      <c r="U18">
        <v>160345</v>
      </c>
      <c r="V18">
        <v>87898</v>
      </c>
      <c r="W18">
        <v>63154</v>
      </c>
      <c r="X18">
        <v>27484</v>
      </c>
    </row>
    <row r="19" spans="1:24" x14ac:dyDescent="0.25">
      <c r="A19" t="s">
        <v>33</v>
      </c>
      <c r="B19">
        <v>412646</v>
      </c>
      <c r="C19">
        <v>811028</v>
      </c>
      <c r="D19">
        <v>1645806</v>
      </c>
      <c r="E19">
        <v>1660432</v>
      </c>
      <c r="F19">
        <f>141395</f>
        <v>141395</v>
      </c>
      <c r="H19">
        <v>96517</v>
      </c>
      <c r="I19">
        <v>49941</v>
      </c>
      <c r="J19">
        <v>941417</v>
      </c>
      <c r="K19">
        <v>936576</v>
      </c>
      <c r="L19">
        <v>2918</v>
      </c>
      <c r="N19">
        <v>0</v>
      </c>
      <c r="O19">
        <v>0</v>
      </c>
      <c r="P19">
        <v>763677</v>
      </c>
      <c r="Q19">
        <v>0</v>
      </c>
      <c r="R19">
        <v>0</v>
      </c>
      <c r="T19">
        <v>17490</v>
      </c>
      <c r="U19">
        <v>553060</v>
      </c>
      <c r="V19">
        <v>599533</v>
      </c>
      <c r="W19">
        <v>37853</v>
      </c>
      <c r="X19">
        <v>66798</v>
      </c>
    </row>
    <row r="20" spans="1:24" x14ac:dyDescent="0.25">
      <c r="A20" t="s">
        <v>24</v>
      </c>
      <c r="H20">
        <v>923830</v>
      </c>
      <c r="I20">
        <v>564736</v>
      </c>
      <c r="J20">
        <v>1076080</v>
      </c>
      <c r="K20">
        <v>331100</v>
      </c>
      <c r="L20">
        <v>1711439</v>
      </c>
      <c r="N20">
        <v>8645856</v>
      </c>
      <c r="O20">
        <f>5906572</f>
        <v>5906572</v>
      </c>
      <c r="P20">
        <v>3869103</v>
      </c>
      <c r="Q20">
        <v>4195848</v>
      </c>
      <c r="R20">
        <v>4765843</v>
      </c>
      <c r="T20">
        <v>2102740</v>
      </c>
      <c r="U20">
        <v>247715</v>
      </c>
      <c r="V20">
        <v>2249597</v>
      </c>
      <c r="W20">
        <v>835412</v>
      </c>
      <c r="X20">
        <v>1238449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oct 13 2020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Billy</dc:creator>
  <cp:lastModifiedBy>John Parkinson</cp:lastModifiedBy>
  <cp:lastPrinted>2021-02-09T07:25:35Z</cp:lastPrinted>
  <dcterms:created xsi:type="dcterms:W3CDTF">2015-06-05T18:17:20Z</dcterms:created>
  <dcterms:modified xsi:type="dcterms:W3CDTF">2021-02-19T23:03:30Z</dcterms:modified>
</cp:coreProperties>
</file>