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tudent backup\Stat_gen_post\Charley PLOS Genetics\Pedigree variants\Manuscript\Latest\2017_MP\out\"/>
    </mc:Choice>
  </mc:AlternateContent>
  <bookViews>
    <workbookView xWindow="0" yWindow="0" windowWidth="28800" windowHeight="12435" firstSheet="10" activeTab="29"/>
  </bookViews>
  <sheets>
    <sheet name="Full" sheetId="1" r:id="rId1"/>
    <sheet name="G" sheetId="2" r:id="rId2"/>
    <sheet name="K" sheetId="3" r:id="rId3"/>
    <sheet name="F" sheetId="4" r:id="rId4"/>
    <sheet name="S" sheetId="5" r:id="rId5"/>
    <sheet name="C" sheetId="6" r:id="rId6"/>
    <sheet name="GK" sheetId="7" r:id="rId7"/>
    <sheet name="GF" sheetId="8" r:id="rId8"/>
    <sheet name="GS" sheetId="9" r:id="rId9"/>
    <sheet name="GC" sheetId="10" r:id="rId10"/>
    <sheet name="KF" sheetId="11" r:id="rId11"/>
    <sheet name="KS" sheetId="12" r:id="rId12"/>
    <sheet name="KC" sheetId="13" r:id="rId13"/>
    <sheet name="FS" sheetId="14" r:id="rId14"/>
    <sheet name="SC" sheetId="15" r:id="rId15"/>
    <sheet name="GFC" sheetId="16" r:id="rId16"/>
    <sheet name="GFS" sheetId="17" r:id="rId17"/>
    <sheet name="GKC" sheetId="18" r:id="rId18"/>
    <sheet name="GKF" sheetId="19" r:id="rId19"/>
    <sheet name="GKS" sheetId="20" r:id="rId20"/>
    <sheet name="GSC" sheetId="21" r:id="rId21"/>
    <sheet name="KFC" sheetId="22" r:id="rId22"/>
    <sheet name="KFS" sheetId="23" r:id="rId23"/>
    <sheet name="KSC" sheetId="24" r:id="rId24"/>
    <sheet name="FSC" sheetId="25" r:id="rId25"/>
    <sheet name="GFSC" sheetId="26" r:id="rId26"/>
    <sheet name="GKFC" sheetId="27" r:id="rId27"/>
    <sheet name="GKFS" sheetId="28" r:id="rId28"/>
    <sheet name="GKSC" sheetId="29" r:id="rId29"/>
    <sheet name="KFSC" sheetId="30" r:id="rId30"/>
  </sheets>
  <calcPr calcId="152511"/>
  <fileRecoveryPr repairLoad="1"/>
</workbook>
</file>

<file path=xl/calcChain.xml><?xml version="1.0" encoding="utf-8"?>
<calcChain xmlns="http://schemas.openxmlformats.org/spreadsheetml/2006/main">
  <c r="N5" i="26" l="1"/>
  <c r="N2" i="30"/>
  <c r="O2" i="30"/>
  <c r="P2" i="30"/>
  <c r="Q2" i="30"/>
  <c r="O5" i="26"/>
  <c r="P5" i="26"/>
  <c r="Q5" i="26"/>
  <c r="N5" i="30"/>
  <c r="O5" i="30"/>
  <c r="P5" i="30"/>
  <c r="Q5" i="30"/>
  <c r="N5" i="29"/>
  <c r="O5" i="29"/>
  <c r="P5" i="29"/>
  <c r="Q5" i="29"/>
  <c r="L7" i="23"/>
  <c r="M7" i="23"/>
  <c r="N7" i="23"/>
  <c r="J3" i="14"/>
  <c r="K3" i="14"/>
  <c r="O3" i="30"/>
  <c r="P3" i="30"/>
  <c r="Q3" i="30"/>
  <c r="O4" i="30"/>
  <c r="P4" i="30"/>
  <c r="Q4" i="30"/>
  <c r="O6" i="30"/>
  <c r="P6" i="30"/>
  <c r="Q6" i="30"/>
  <c r="O7" i="30"/>
  <c r="P7" i="30"/>
  <c r="Q7" i="30"/>
  <c r="O8" i="30"/>
  <c r="P8" i="30"/>
  <c r="Q8" i="30"/>
  <c r="O9" i="30"/>
  <c r="P9" i="30"/>
  <c r="Q9" i="30"/>
  <c r="N4" i="30"/>
  <c r="N6" i="30"/>
  <c r="N7" i="30"/>
  <c r="N8" i="30"/>
  <c r="N9" i="30"/>
  <c r="N3" i="30"/>
  <c r="O2" i="29"/>
  <c r="P2" i="29"/>
  <c r="Q2" i="29"/>
  <c r="O3" i="29"/>
  <c r="P3" i="29"/>
  <c r="Q3" i="29"/>
  <c r="O4" i="29"/>
  <c r="P4" i="29"/>
  <c r="Q4" i="29"/>
  <c r="O6" i="29"/>
  <c r="P6" i="29"/>
  <c r="Q6" i="29"/>
  <c r="O7" i="29"/>
  <c r="P7" i="29"/>
  <c r="Q7" i="29"/>
  <c r="O8" i="29"/>
  <c r="P8" i="29"/>
  <c r="Q8" i="29"/>
  <c r="O9" i="29"/>
  <c r="P9" i="29"/>
  <c r="Q9" i="29"/>
  <c r="N3" i="29"/>
  <c r="N4" i="29"/>
  <c r="N6" i="29"/>
  <c r="N7" i="29"/>
  <c r="N8" i="29"/>
  <c r="N9" i="29"/>
  <c r="N2" i="29"/>
  <c r="O2" i="28"/>
  <c r="P2" i="28"/>
  <c r="Q2" i="28"/>
  <c r="O3" i="28"/>
  <c r="P3" i="28"/>
  <c r="Q3" i="28"/>
  <c r="O4" i="28"/>
  <c r="P4" i="28"/>
  <c r="Q4" i="28"/>
  <c r="O5" i="28"/>
  <c r="P5" i="28"/>
  <c r="Q5" i="28"/>
  <c r="O6" i="28"/>
  <c r="P6" i="28"/>
  <c r="Q6" i="28"/>
  <c r="O7" i="28"/>
  <c r="P7" i="28"/>
  <c r="Q7" i="28"/>
  <c r="O8" i="28"/>
  <c r="P8" i="28"/>
  <c r="Q8" i="28"/>
  <c r="O9" i="28"/>
  <c r="P9" i="28"/>
  <c r="Q9" i="28"/>
  <c r="N3" i="28"/>
  <c r="N4" i="28"/>
  <c r="N5" i="28"/>
  <c r="N6" i="28"/>
  <c r="N7" i="28"/>
  <c r="N8" i="28"/>
  <c r="N9" i="28"/>
  <c r="N2" i="28"/>
  <c r="O2" i="27"/>
  <c r="P2" i="27"/>
  <c r="Q2" i="27"/>
  <c r="O3" i="27"/>
  <c r="P3" i="27"/>
  <c r="Q3" i="27"/>
  <c r="O4" i="27"/>
  <c r="P4" i="27"/>
  <c r="Q4" i="27"/>
  <c r="O5" i="27"/>
  <c r="P5" i="27"/>
  <c r="Q5" i="27"/>
  <c r="O6" i="27"/>
  <c r="P6" i="27"/>
  <c r="Q6" i="27"/>
  <c r="O7" i="27"/>
  <c r="P7" i="27"/>
  <c r="Q7" i="27"/>
  <c r="O8" i="27"/>
  <c r="P8" i="27"/>
  <c r="Q8" i="27"/>
  <c r="O9" i="27"/>
  <c r="P9" i="27"/>
  <c r="Q9" i="27"/>
  <c r="N3" i="27"/>
  <c r="N4" i="27"/>
  <c r="N5" i="27"/>
  <c r="N6" i="27"/>
  <c r="N7" i="27"/>
  <c r="N8" i="27"/>
  <c r="N9" i="27"/>
  <c r="N2" i="27"/>
  <c r="O2" i="26"/>
  <c r="P2" i="26"/>
  <c r="Q2" i="26"/>
  <c r="O3" i="26"/>
  <c r="P3" i="26"/>
  <c r="Q3" i="26"/>
  <c r="O4" i="26"/>
  <c r="P4" i="26"/>
  <c r="Q4" i="26"/>
  <c r="O6" i="26"/>
  <c r="P6" i="26"/>
  <c r="Q6" i="26"/>
  <c r="O7" i="26"/>
  <c r="P7" i="26"/>
  <c r="Q7" i="26"/>
  <c r="O8" i="26"/>
  <c r="P8" i="26"/>
  <c r="Q8" i="26"/>
  <c r="O9" i="26"/>
  <c r="P9" i="26"/>
  <c r="Q9" i="26"/>
  <c r="N3" i="26"/>
  <c r="N4" i="26"/>
  <c r="N6" i="26"/>
  <c r="N7" i="26"/>
  <c r="N8" i="26"/>
  <c r="N9" i="26"/>
  <c r="N2" i="26"/>
  <c r="M2" i="25"/>
  <c r="N2" i="25"/>
  <c r="M3" i="25"/>
  <c r="N3" i="25"/>
  <c r="M4" i="25"/>
  <c r="N4" i="25"/>
  <c r="M5" i="25"/>
  <c r="N5" i="25"/>
  <c r="M6" i="25"/>
  <c r="N6" i="25"/>
  <c r="M7" i="25"/>
  <c r="N7" i="25"/>
  <c r="M8" i="25"/>
  <c r="N8" i="25"/>
  <c r="M9" i="25"/>
  <c r="N9" i="25"/>
  <c r="L3" i="25"/>
  <c r="L4" i="25"/>
  <c r="L5" i="25"/>
  <c r="L6" i="25"/>
  <c r="L7" i="25"/>
  <c r="L8" i="25"/>
  <c r="L9" i="25"/>
  <c r="L2" i="25"/>
  <c r="M2" i="24"/>
  <c r="N2" i="24"/>
  <c r="M3" i="24"/>
  <c r="N3" i="24"/>
  <c r="M4" i="24"/>
  <c r="N4" i="24"/>
  <c r="M5" i="24"/>
  <c r="N5" i="24"/>
  <c r="M6" i="24"/>
  <c r="N6" i="24"/>
  <c r="M7" i="24"/>
  <c r="N7" i="24"/>
  <c r="M8" i="24"/>
  <c r="N8" i="24"/>
  <c r="M9" i="24"/>
  <c r="N9" i="24"/>
  <c r="L3" i="24"/>
  <c r="L4" i="24"/>
  <c r="L5" i="24"/>
  <c r="L6" i="24"/>
  <c r="L7" i="24"/>
  <c r="L8" i="24"/>
  <c r="L9" i="24"/>
  <c r="L2" i="24"/>
  <c r="M2" i="23"/>
  <c r="N2" i="23"/>
  <c r="M3" i="23"/>
  <c r="N3" i="23"/>
  <c r="M4" i="23"/>
  <c r="N4" i="23"/>
  <c r="M5" i="23"/>
  <c r="N5" i="23"/>
  <c r="M6" i="23"/>
  <c r="N6" i="23"/>
  <c r="M8" i="23"/>
  <c r="N8" i="23"/>
  <c r="M9" i="23"/>
  <c r="N9" i="23"/>
  <c r="L3" i="23"/>
  <c r="L4" i="23"/>
  <c r="L5" i="23"/>
  <c r="L6" i="23"/>
  <c r="L8" i="23"/>
  <c r="L9" i="23"/>
  <c r="L2" i="23"/>
  <c r="M2" i="22"/>
  <c r="N2" i="22"/>
  <c r="M3" i="22"/>
  <c r="N3" i="22"/>
  <c r="M4" i="22"/>
  <c r="N4" i="22"/>
  <c r="M5" i="22"/>
  <c r="N5" i="22"/>
  <c r="M6" i="22"/>
  <c r="N6" i="22"/>
  <c r="M7" i="22"/>
  <c r="N7" i="22"/>
  <c r="M8" i="22"/>
  <c r="N8" i="22"/>
  <c r="M9" i="22"/>
  <c r="N9" i="22"/>
  <c r="L3" i="22"/>
  <c r="L4" i="22"/>
  <c r="L5" i="22"/>
  <c r="L6" i="22"/>
  <c r="L7" i="22"/>
  <c r="L8" i="22"/>
  <c r="L9" i="22"/>
  <c r="L2" i="22"/>
  <c r="M2" i="21"/>
  <c r="N2" i="21"/>
  <c r="M3" i="21"/>
  <c r="N3" i="21"/>
  <c r="M4" i="21"/>
  <c r="N4" i="21"/>
  <c r="M5" i="21"/>
  <c r="N5" i="21"/>
  <c r="M6" i="21"/>
  <c r="N6" i="21"/>
  <c r="M7" i="21"/>
  <c r="N7" i="21"/>
  <c r="M8" i="21"/>
  <c r="N8" i="21"/>
  <c r="M9" i="21"/>
  <c r="N9" i="21"/>
  <c r="L3" i="21"/>
  <c r="L4" i="21"/>
  <c r="L5" i="21"/>
  <c r="L6" i="21"/>
  <c r="L7" i="21"/>
  <c r="L8" i="21"/>
  <c r="L9" i="21"/>
  <c r="L2" i="21"/>
  <c r="M2" i="20"/>
  <c r="N2" i="20"/>
  <c r="M3" i="20"/>
  <c r="N3" i="20"/>
  <c r="M4" i="20"/>
  <c r="N4" i="20"/>
  <c r="M5" i="20"/>
  <c r="N5" i="20"/>
  <c r="M6" i="20"/>
  <c r="N6" i="20"/>
  <c r="M7" i="20"/>
  <c r="N7" i="20"/>
  <c r="M8" i="20"/>
  <c r="N8" i="20"/>
  <c r="M9" i="20"/>
  <c r="N9" i="20"/>
  <c r="L3" i="20"/>
  <c r="L4" i="20"/>
  <c r="L5" i="20"/>
  <c r="L6" i="20"/>
  <c r="L7" i="20"/>
  <c r="L8" i="20"/>
  <c r="L9" i="20"/>
  <c r="L2" i="20"/>
  <c r="M2" i="19"/>
  <c r="N2" i="19"/>
  <c r="M3" i="19"/>
  <c r="N3" i="19"/>
  <c r="M4" i="19"/>
  <c r="N4" i="19"/>
  <c r="M5" i="19"/>
  <c r="N5" i="19"/>
  <c r="M6" i="19"/>
  <c r="N6" i="19"/>
  <c r="M7" i="19"/>
  <c r="N7" i="19"/>
  <c r="M8" i="19"/>
  <c r="N8" i="19"/>
  <c r="M9" i="19"/>
  <c r="N9" i="19"/>
  <c r="L3" i="19"/>
  <c r="L4" i="19"/>
  <c r="L5" i="19"/>
  <c r="L6" i="19"/>
  <c r="L7" i="19"/>
  <c r="L8" i="19"/>
  <c r="L9" i="19"/>
  <c r="L2" i="19"/>
  <c r="M2" i="18"/>
  <c r="N2" i="18"/>
  <c r="M3" i="18"/>
  <c r="N3" i="18"/>
  <c r="M4" i="18"/>
  <c r="N4" i="18"/>
  <c r="M5" i="18"/>
  <c r="N5" i="18"/>
  <c r="M6" i="18"/>
  <c r="N6" i="18"/>
  <c r="M7" i="18"/>
  <c r="N7" i="18"/>
  <c r="M8" i="18"/>
  <c r="N8" i="18"/>
  <c r="M9" i="18"/>
  <c r="N9" i="18"/>
  <c r="L3" i="18"/>
  <c r="L4" i="18"/>
  <c r="L5" i="18"/>
  <c r="L6" i="18"/>
  <c r="L7" i="18"/>
  <c r="L8" i="18"/>
  <c r="L9" i="18"/>
  <c r="L2" i="18"/>
  <c r="M2" i="17"/>
  <c r="N2" i="17"/>
  <c r="M3" i="17"/>
  <c r="N3" i="17"/>
  <c r="M4" i="17"/>
  <c r="N4" i="17"/>
  <c r="M5" i="17"/>
  <c r="N5" i="17"/>
  <c r="M6" i="17"/>
  <c r="N6" i="17"/>
  <c r="M7" i="17"/>
  <c r="N7" i="17"/>
  <c r="M8" i="17"/>
  <c r="N8" i="17"/>
  <c r="M9" i="17"/>
  <c r="N9" i="17"/>
  <c r="L3" i="17"/>
  <c r="L4" i="17"/>
  <c r="L5" i="17"/>
  <c r="L6" i="17"/>
  <c r="L7" i="17"/>
  <c r="L8" i="17"/>
  <c r="L9" i="17"/>
  <c r="L2" i="17"/>
  <c r="M2" i="16"/>
  <c r="N2" i="16"/>
  <c r="M3" i="16"/>
  <c r="N3" i="16"/>
  <c r="M4" i="16"/>
  <c r="N4" i="16"/>
  <c r="M5" i="16"/>
  <c r="N5" i="16"/>
  <c r="M6" i="16"/>
  <c r="N6" i="16"/>
  <c r="M7" i="16"/>
  <c r="N7" i="16"/>
  <c r="M8" i="16"/>
  <c r="N8" i="16"/>
  <c r="M9" i="16"/>
  <c r="N9" i="16"/>
  <c r="L3" i="16"/>
  <c r="L4" i="16"/>
  <c r="L5" i="16"/>
  <c r="L6" i="16"/>
  <c r="L7" i="16"/>
  <c r="L8" i="16"/>
  <c r="L9" i="16"/>
  <c r="L2" i="16"/>
  <c r="K2" i="15"/>
  <c r="K3" i="15"/>
  <c r="K4" i="15"/>
  <c r="K5" i="15"/>
  <c r="K6" i="15"/>
  <c r="K7" i="15"/>
  <c r="K8" i="15"/>
  <c r="K9" i="15"/>
  <c r="J3" i="15"/>
  <c r="J4" i="15"/>
  <c r="J5" i="15"/>
  <c r="J6" i="15"/>
  <c r="J7" i="15"/>
  <c r="J8" i="15"/>
  <c r="J9" i="15"/>
  <c r="J2" i="15"/>
  <c r="K2" i="14"/>
  <c r="K4" i="14"/>
  <c r="K5" i="14"/>
  <c r="K6" i="14"/>
  <c r="K7" i="14"/>
  <c r="K8" i="14"/>
  <c r="K9" i="14"/>
  <c r="J4" i="14"/>
  <c r="J5" i="14"/>
  <c r="J6" i="14"/>
  <c r="J7" i="14"/>
  <c r="J8" i="14"/>
  <c r="J9" i="14"/>
  <c r="J2" i="14"/>
  <c r="K2" i="13"/>
  <c r="K3" i="13"/>
  <c r="K4" i="13"/>
  <c r="K5" i="13"/>
  <c r="K6" i="13"/>
  <c r="K7" i="13"/>
  <c r="K8" i="13"/>
  <c r="K9" i="13"/>
  <c r="J3" i="13"/>
  <c r="J4" i="13"/>
  <c r="J5" i="13"/>
  <c r="J6" i="13"/>
  <c r="J7" i="13"/>
  <c r="J8" i="13"/>
  <c r="J9" i="13"/>
  <c r="J2" i="13"/>
  <c r="K2" i="12"/>
  <c r="K3" i="12"/>
  <c r="K4" i="12"/>
  <c r="K5" i="12"/>
  <c r="K6" i="12"/>
  <c r="K7" i="12"/>
  <c r="K8" i="12"/>
  <c r="K9" i="12"/>
  <c r="J3" i="12"/>
  <c r="J4" i="12"/>
  <c r="J5" i="12"/>
  <c r="J6" i="12"/>
  <c r="J7" i="12"/>
  <c r="J8" i="12"/>
  <c r="J9" i="12"/>
  <c r="J2" i="12"/>
  <c r="K2" i="11"/>
  <c r="K3" i="11"/>
  <c r="K4" i="11"/>
  <c r="K5" i="11"/>
  <c r="K6" i="11"/>
  <c r="K7" i="11"/>
  <c r="K8" i="11"/>
  <c r="K9" i="11"/>
  <c r="J3" i="11"/>
  <c r="J4" i="11"/>
  <c r="J5" i="11"/>
  <c r="J6" i="11"/>
  <c r="J7" i="11"/>
  <c r="J8" i="11"/>
  <c r="J9" i="11"/>
  <c r="J2" i="11"/>
  <c r="K2" i="10"/>
  <c r="K3" i="10"/>
  <c r="K4" i="10"/>
  <c r="K5" i="10"/>
  <c r="K6" i="10"/>
  <c r="K7" i="10"/>
  <c r="K8" i="10"/>
  <c r="K9" i="10"/>
  <c r="J3" i="10"/>
  <c r="J4" i="10"/>
  <c r="J5" i="10"/>
  <c r="J6" i="10"/>
  <c r="J7" i="10"/>
  <c r="J8" i="10"/>
  <c r="J9" i="10"/>
  <c r="J2" i="10"/>
  <c r="K2" i="9"/>
  <c r="K3" i="9"/>
  <c r="K4" i="9"/>
  <c r="K5" i="9"/>
  <c r="K6" i="9"/>
  <c r="K7" i="9"/>
  <c r="K8" i="9"/>
  <c r="K9" i="9"/>
  <c r="J3" i="9"/>
  <c r="J4" i="9"/>
  <c r="J5" i="9"/>
  <c r="J6" i="9"/>
  <c r="J7" i="9"/>
  <c r="J8" i="9"/>
  <c r="J9" i="9"/>
  <c r="J2" i="9"/>
  <c r="K2" i="8"/>
  <c r="K3" i="8"/>
  <c r="K4" i="8"/>
  <c r="K5" i="8"/>
  <c r="K6" i="8"/>
  <c r="K7" i="8"/>
  <c r="K8" i="8"/>
  <c r="K9" i="8"/>
  <c r="J3" i="8"/>
  <c r="J4" i="8"/>
  <c r="J5" i="8"/>
  <c r="J6" i="8"/>
  <c r="J7" i="8"/>
  <c r="J8" i="8"/>
  <c r="J9" i="8"/>
  <c r="J2" i="8"/>
  <c r="K2" i="7"/>
  <c r="K3" i="7"/>
  <c r="K4" i="7"/>
  <c r="K5" i="7"/>
  <c r="K6" i="7"/>
  <c r="K7" i="7"/>
  <c r="K8" i="7"/>
  <c r="K9" i="7"/>
  <c r="J3" i="7"/>
  <c r="J4" i="7"/>
  <c r="J5" i="7"/>
  <c r="J6" i="7"/>
  <c r="J7" i="7"/>
  <c r="J8" i="7"/>
  <c r="J9" i="7"/>
  <c r="J2" i="7"/>
  <c r="H3" i="6"/>
  <c r="H4" i="6"/>
  <c r="H5" i="6"/>
  <c r="H6" i="6"/>
  <c r="H7" i="6"/>
  <c r="H8" i="6"/>
  <c r="H9" i="6"/>
  <c r="H2" i="6"/>
  <c r="H3" i="5"/>
  <c r="H4" i="5"/>
  <c r="H5" i="5"/>
  <c r="H6" i="5"/>
  <c r="H7" i="5"/>
  <c r="H8" i="5"/>
  <c r="H9" i="5"/>
  <c r="H2" i="5"/>
  <c r="H3" i="4"/>
  <c r="H4" i="4"/>
  <c r="H5" i="4"/>
  <c r="H6" i="4"/>
  <c r="H7" i="4"/>
  <c r="H8" i="4"/>
  <c r="H9" i="4"/>
  <c r="H2" i="4"/>
  <c r="H3" i="3"/>
  <c r="H4" i="3"/>
  <c r="H5" i="3"/>
  <c r="H6" i="3"/>
  <c r="H7" i="3"/>
  <c r="H8" i="3"/>
  <c r="H9" i="3"/>
  <c r="H2" i="3"/>
  <c r="H3" i="2"/>
  <c r="H4" i="2"/>
  <c r="H5" i="2"/>
  <c r="H6" i="2"/>
  <c r="H7" i="2"/>
  <c r="H8" i="2"/>
  <c r="H9" i="2"/>
  <c r="H2" i="2"/>
  <c r="T3" i="1"/>
  <c r="T4" i="1"/>
  <c r="T5" i="1"/>
  <c r="T6" i="1"/>
  <c r="T7" i="1"/>
  <c r="T8" i="1"/>
  <c r="T9" i="1"/>
  <c r="T2" i="1"/>
  <c r="S3" i="1"/>
  <c r="S4" i="1"/>
  <c r="S5" i="1"/>
  <c r="S6" i="1"/>
  <c r="S7" i="1"/>
  <c r="S8" i="1"/>
  <c r="S9" i="1"/>
  <c r="S2" i="1"/>
  <c r="R2" i="1"/>
  <c r="R3" i="1"/>
  <c r="R4" i="1"/>
  <c r="R5" i="1"/>
  <c r="R6" i="1"/>
  <c r="R7" i="1"/>
  <c r="R8" i="1"/>
  <c r="R9" i="1"/>
  <c r="Q3" i="1"/>
  <c r="Q4" i="1"/>
  <c r="Q5" i="1"/>
  <c r="Q6" i="1"/>
  <c r="Q7" i="1"/>
  <c r="Q8" i="1"/>
  <c r="Q9" i="1"/>
  <c r="Q2" i="1"/>
  <c r="P3" i="1"/>
  <c r="P4" i="1"/>
  <c r="P5" i="1"/>
  <c r="P6" i="1"/>
  <c r="P7" i="1"/>
  <c r="P8" i="1"/>
  <c r="P9" i="1"/>
  <c r="P2" i="1"/>
</calcChain>
</file>

<file path=xl/sharedStrings.xml><?xml version="1.0" encoding="utf-8"?>
<sst xmlns="http://schemas.openxmlformats.org/spreadsheetml/2006/main" count="3481" uniqueCount="369">
  <si>
    <t>trait</t>
  </si>
  <si>
    <t>logL</t>
  </si>
  <si>
    <t>n</t>
  </si>
  <si>
    <t>Cognitive: g</t>
  </si>
  <si>
    <t>0.21</t>
  </si>
  <si>
    <t>(0.02)</t>
  </si>
  <si>
    <t>0.41</t>
  </si>
  <si>
    <t>(0.05)</t>
  </si>
  <si>
    <t>0.00</t>
  </si>
  <si>
    <t>0.09</t>
  </si>
  <si>
    <t>(0.01)</t>
  </si>
  <si>
    <t>0.26</t>
  </si>
  <si>
    <t>(0.03)</t>
  </si>
  <si>
    <t>0.02</t>
  </si>
  <si>
    <t>0.99</t>
  </si>
  <si>
    <t>-8632.87</t>
  </si>
  <si>
    <t>19036.00</t>
  </si>
  <si>
    <t>Cognitive: Education</t>
  </si>
  <si>
    <t>0.13</t>
  </si>
  <si>
    <t>0.40</t>
  </si>
  <si>
    <t>0.11</t>
  </si>
  <si>
    <t>0.36</t>
  </si>
  <si>
    <t>1.00</t>
  </si>
  <si>
    <t>0.39</t>
  </si>
  <si>
    <t>-8552.89</t>
  </si>
  <si>
    <t>18528.00</t>
  </si>
  <si>
    <t>Cognitive: Vocabulary</t>
  </si>
  <si>
    <t>0.23</t>
  </si>
  <si>
    <t>0.06</t>
  </si>
  <si>
    <t>0.30</t>
  </si>
  <si>
    <t>0.31</t>
  </si>
  <si>
    <t>-8615.37</t>
  </si>
  <si>
    <t>19269.00</t>
  </si>
  <si>
    <t>Cognitive: Digit symbol</t>
  </si>
  <si>
    <t>0.20</t>
  </si>
  <si>
    <t>0.08</t>
  </si>
  <si>
    <t>0.17</t>
  </si>
  <si>
    <t>0.32</t>
  </si>
  <si>
    <t>-9223.23</t>
  </si>
  <si>
    <t>19385.00</t>
  </si>
  <si>
    <t>Cognitive: Verbal fluency</t>
  </si>
  <si>
    <t>0.18</t>
  </si>
  <si>
    <t>0.05</t>
  </si>
  <si>
    <t>0.16</t>
  </si>
  <si>
    <t>-9128.93</t>
  </si>
  <si>
    <t>19380.00</t>
  </si>
  <si>
    <t>Cognitive: Logical memory</t>
  </si>
  <si>
    <t>0.24</t>
  </si>
  <si>
    <t>0.54</t>
  </si>
  <si>
    <t>-9374.50</t>
  </si>
  <si>
    <t>19365.00</t>
  </si>
  <si>
    <t>Personality: Neuroticism</t>
  </si>
  <si>
    <t>0.15</t>
  </si>
  <si>
    <t>0.72</t>
  </si>
  <si>
    <t>-9530.02</t>
  </si>
  <si>
    <t>19494.00</t>
  </si>
  <si>
    <t>Personality: Extraversion</t>
  </si>
  <si>
    <t>0.07</t>
  </si>
  <si>
    <t>0.76</t>
  </si>
  <si>
    <t>-9528.04</t>
  </si>
  <si>
    <t>19487.00</t>
  </si>
  <si>
    <t>0.46</t>
  </si>
  <si>
    <t>-8801.28</t>
  </si>
  <si>
    <t>0.38</t>
  </si>
  <si>
    <t>0.62</t>
  </si>
  <si>
    <t>-8777.83</t>
  </si>
  <si>
    <t>0.47</t>
  </si>
  <si>
    <t>0.52</t>
  </si>
  <si>
    <t>-8818.42</t>
  </si>
  <si>
    <t>0.34</t>
  </si>
  <si>
    <t>0.66</t>
  </si>
  <si>
    <t>-9279.32</t>
  </si>
  <si>
    <t>-9225.85</t>
  </si>
  <si>
    <t>0.27</t>
  </si>
  <si>
    <t>0.73</t>
  </si>
  <si>
    <t>-9427.89</t>
  </si>
  <si>
    <t>0.77</t>
  </si>
  <si>
    <t>-9561.02</t>
  </si>
  <si>
    <t>-9564.68</t>
  </si>
  <si>
    <t>0.57</t>
  </si>
  <si>
    <t>0.43</t>
  </si>
  <si>
    <t>-8791.74</t>
  </si>
  <si>
    <t>0.49</t>
  </si>
  <si>
    <t>0.51</t>
  </si>
  <si>
    <t>-8751.93</t>
  </si>
  <si>
    <t>0.42</t>
  </si>
  <si>
    <t>-8845.36</t>
  </si>
  <si>
    <t>0.59</t>
  </si>
  <si>
    <t>-9314.92</t>
  </si>
  <si>
    <t>0.48</t>
  </si>
  <si>
    <t>-9208.64</t>
  </si>
  <si>
    <t>0.64</t>
  </si>
  <si>
    <t>-9400.79</t>
  </si>
  <si>
    <t>0.70</t>
  </si>
  <si>
    <t>-9547.23</t>
  </si>
  <si>
    <t>-9554.79</t>
  </si>
  <si>
    <t>0.28</t>
  </si>
  <si>
    <t>0.71</t>
  </si>
  <si>
    <t>-8802.95</t>
  </si>
  <si>
    <t>-8677.40</t>
  </si>
  <si>
    <t>0.29</t>
  </si>
  <si>
    <t>-8825.55</t>
  </si>
  <si>
    <t>0.80</t>
  </si>
  <si>
    <t>-9343.54</t>
  </si>
  <si>
    <t>-9236.66</t>
  </si>
  <si>
    <t>0.84</t>
  </si>
  <si>
    <t>-9441.65</t>
  </si>
  <si>
    <t>0.14</t>
  </si>
  <si>
    <t>0.86</t>
  </si>
  <si>
    <t>-9572.99</t>
  </si>
  <si>
    <t>0.85</t>
  </si>
  <si>
    <t>-9559.03</t>
  </si>
  <si>
    <t>0.63</t>
  </si>
  <si>
    <t>-9030.04</t>
  </si>
  <si>
    <t>0.37</t>
  </si>
  <si>
    <t>1.01</t>
  </si>
  <si>
    <t>-8855.50</t>
  </si>
  <si>
    <t>-9125.25</t>
  </si>
  <si>
    <t>-9435.55</t>
  </si>
  <si>
    <t>-9423.13</t>
  </si>
  <si>
    <t>0.22</t>
  </si>
  <si>
    <t>0.78</t>
  </si>
  <si>
    <t>-9514.24</t>
  </si>
  <si>
    <t>-9651.91</t>
  </si>
  <si>
    <t>-9653.18</t>
  </si>
  <si>
    <t>-9455.00</t>
  </si>
  <si>
    <t>0.60</t>
  </si>
  <si>
    <t>-9146.02</t>
  </si>
  <si>
    <t>0.35</t>
  </si>
  <si>
    <t>0.65</t>
  </si>
  <si>
    <t>-9523.38</t>
  </si>
  <si>
    <t>-9678.98</t>
  </si>
  <si>
    <t>0.83</t>
  </si>
  <si>
    <t>-9681.62</t>
  </si>
  <si>
    <t>0.94</t>
  </si>
  <si>
    <t>-9680.65</t>
  </si>
  <si>
    <t>0.03</t>
  </si>
  <si>
    <t>0.97</t>
  </si>
  <si>
    <t>-9743.10</t>
  </si>
  <si>
    <t>0.93</t>
  </si>
  <si>
    <t>-9744.96</t>
  </si>
  <si>
    <t>-8718.76</t>
  </si>
  <si>
    <t>-8711.02</t>
  </si>
  <si>
    <t>-8747.41</t>
  </si>
  <si>
    <t>-9251.78</t>
  </si>
  <si>
    <t>0.19</t>
  </si>
  <si>
    <t>0.53</t>
  </si>
  <si>
    <t>-9162.29</t>
  </si>
  <si>
    <t>0.12</t>
  </si>
  <si>
    <t>-9382.29</t>
  </si>
  <si>
    <t>-9530.72</t>
  </si>
  <si>
    <t>-9537.02</t>
  </si>
  <si>
    <t>-8682.94</t>
  </si>
  <si>
    <t>-8635.80</t>
  </si>
  <si>
    <t>0.55</t>
  </si>
  <si>
    <t>-8687.24</t>
  </si>
  <si>
    <t>0.67</t>
  </si>
  <si>
    <t>-9246.13</t>
  </si>
  <si>
    <t>-9150.86</t>
  </si>
  <si>
    <t>0.74</t>
  </si>
  <si>
    <t>-9392.73</t>
  </si>
  <si>
    <t>-9536.77</t>
  </si>
  <si>
    <t>-9528.97</t>
  </si>
  <si>
    <t>-8710.12</t>
  </si>
  <si>
    <t>-8665.32</t>
  </si>
  <si>
    <t>0.44</t>
  </si>
  <si>
    <t>-8736.05</t>
  </si>
  <si>
    <t>-9237.46</t>
  </si>
  <si>
    <t>-9188.35</t>
  </si>
  <si>
    <t>0.10</t>
  </si>
  <si>
    <t>0.68</t>
  </si>
  <si>
    <t>-9400.36</t>
  </si>
  <si>
    <t>0.75</t>
  </si>
  <si>
    <t>-9554.37</t>
  </si>
  <si>
    <t>-9555.91</t>
  </si>
  <si>
    <t>-8748.35</t>
  </si>
  <si>
    <t>-8665.17</t>
  </si>
  <si>
    <t>0.25</t>
  </si>
  <si>
    <t>-8727.81</t>
  </si>
  <si>
    <t>-9264.91</t>
  </si>
  <si>
    <t>-9205.88</t>
  </si>
  <si>
    <t>0.69</t>
  </si>
  <si>
    <t>-9426.98</t>
  </si>
  <si>
    <t>0.01</t>
  </si>
  <si>
    <t>-9560.94</t>
  </si>
  <si>
    <t>-9561.29</t>
  </si>
  <si>
    <t>0.33</t>
  </si>
  <si>
    <t>-8750.92</t>
  </si>
  <si>
    <t>-8671.08</t>
  </si>
  <si>
    <t>-8783.53</t>
  </si>
  <si>
    <t>-9306.45</t>
  </si>
  <si>
    <t>-9191.69</t>
  </si>
  <si>
    <t>-9399.03</t>
  </si>
  <si>
    <t>(0.04)</t>
  </si>
  <si>
    <t>-9546.58</t>
  </si>
  <si>
    <t>-9546.02</t>
  </si>
  <si>
    <t>0.50</t>
  </si>
  <si>
    <t>-8740.70</t>
  </si>
  <si>
    <t>0.45</t>
  </si>
  <si>
    <t>-8678.31</t>
  </si>
  <si>
    <t>-8797.45</t>
  </si>
  <si>
    <t>-9290.40</t>
  </si>
  <si>
    <t>-9197.27</t>
  </si>
  <si>
    <t>-9392.97</t>
  </si>
  <si>
    <t>-9554.38</t>
  </si>
  <si>
    <t>-8704.99</t>
  </si>
  <si>
    <t>-8596.97</t>
  </si>
  <si>
    <t>-8711.04</t>
  </si>
  <si>
    <t>-9290.42</t>
  </si>
  <si>
    <t>-9178.64</t>
  </si>
  <si>
    <t>0.58</t>
  </si>
  <si>
    <t>-9398.01</t>
  </si>
  <si>
    <t>-9546.98</t>
  </si>
  <si>
    <t>-9550.38</t>
  </si>
  <si>
    <t>-8772.19</t>
  </si>
  <si>
    <t>-8806.73</t>
  </si>
  <si>
    <t>-9320.49</t>
  </si>
  <si>
    <t>-9228.85</t>
  </si>
  <si>
    <t>0.79</t>
  </si>
  <si>
    <t>-9431.29</t>
  </si>
  <si>
    <t>-9572.82</t>
  </si>
  <si>
    <t>-9558.98</t>
  </si>
  <si>
    <t>-8976.91</t>
  </si>
  <si>
    <t>-8748.13</t>
  </si>
  <si>
    <t>-9040.86</t>
  </si>
  <si>
    <t>-9420.12</t>
  </si>
  <si>
    <t>-9400.06</t>
  </si>
  <si>
    <t>0.04</t>
  </si>
  <si>
    <t>-9512.71</t>
  </si>
  <si>
    <t>0.82</t>
  </si>
  <si>
    <t>-9651.45</t>
  </si>
  <si>
    <t>-9649.51</t>
  </si>
  <si>
    <t>-8671.51</t>
  </si>
  <si>
    <t>-8593.49</t>
  </si>
  <si>
    <t>-8655.80</t>
  </si>
  <si>
    <t>-9242.02</t>
  </si>
  <si>
    <t>0.61</t>
  </si>
  <si>
    <t>-9149.84</t>
  </si>
  <si>
    <t>-9397.96</t>
  </si>
  <si>
    <t>-9542.99</t>
  </si>
  <si>
    <t>-9530.18</t>
  </si>
  <si>
    <t>-8655.35</t>
  </si>
  <si>
    <t>-8604.03</t>
  </si>
  <si>
    <t>-8668.68</t>
  </si>
  <si>
    <t>-9227.05</t>
  </si>
  <si>
    <t>-9145.34</t>
  </si>
  <si>
    <t>-9385.25</t>
  </si>
  <si>
    <t>-8638.60</t>
  </si>
  <si>
    <t>-8565.70</t>
  </si>
  <si>
    <t>-8622.64</t>
  </si>
  <si>
    <t>-9230.33</t>
  </si>
  <si>
    <t>-9133.27</t>
  </si>
  <si>
    <t>-9379.76</t>
  </si>
  <si>
    <t>-9530.44</t>
  </si>
  <si>
    <t>-9532.50</t>
  </si>
  <si>
    <t>-8679.83</t>
  </si>
  <si>
    <t>-8635.86</t>
  </si>
  <si>
    <t>-8687.17</t>
  </si>
  <si>
    <t>-9244.25</t>
  </si>
  <si>
    <t>-9145.70</t>
  </si>
  <si>
    <t>-9380.62</t>
  </si>
  <si>
    <t>-9530.00</t>
  </si>
  <si>
    <t>-9527.97</t>
  </si>
  <si>
    <t>-8668.06</t>
  </si>
  <si>
    <t>-8639.49</t>
  </si>
  <si>
    <t>-8699.48</t>
  </si>
  <si>
    <t>-9227.49</t>
  </si>
  <si>
    <t>-9150.43</t>
  </si>
  <si>
    <t>-9374.49</t>
  </si>
  <si>
    <t>-9536.53</t>
  </si>
  <si>
    <t>-8670.07</t>
  </si>
  <si>
    <t>-8575.00</t>
  </si>
  <si>
    <t>-8664.60</t>
  </si>
  <si>
    <t>-9225.65</t>
  </si>
  <si>
    <t>-9171.52</t>
  </si>
  <si>
    <t>-9399.88</t>
  </si>
  <si>
    <t>-9554.32</t>
  </si>
  <si>
    <t>-9553.00</t>
  </si>
  <si>
    <t>-8706.90</t>
  </si>
  <si>
    <t>0.56</t>
  </si>
  <si>
    <t>-8597.53</t>
  </si>
  <si>
    <t>-8713.99</t>
  </si>
  <si>
    <t>-9291.43</t>
  </si>
  <si>
    <t>-9178.62</t>
  </si>
  <si>
    <t>-9546.04</t>
  </si>
  <si>
    <t>-8723.61</t>
  </si>
  <si>
    <t>-8639.57</t>
  </si>
  <si>
    <t>-8765.43</t>
  </si>
  <si>
    <t>-9288.09</t>
  </si>
  <si>
    <t>-9187.11</t>
  </si>
  <si>
    <t>-8679.78</t>
  </si>
  <si>
    <t>-8564.52</t>
  </si>
  <si>
    <t>-8694.96</t>
  </si>
  <si>
    <t>-9272.69</t>
  </si>
  <si>
    <t>-9172.76</t>
  </si>
  <si>
    <t>-9391.37</t>
  </si>
  <si>
    <t>-9550.24</t>
  </si>
  <si>
    <t>-8772.31</t>
  </si>
  <si>
    <t>-8627.79</t>
  </si>
  <si>
    <t>-8805.11</t>
  </si>
  <si>
    <t>-9321.08</t>
  </si>
  <si>
    <t>-9236.28</t>
  </si>
  <si>
    <t>-9453.14</t>
  </si>
  <si>
    <t>0.91</t>
  </si>
  <si>
    <t>-9596.41</t>
  </si>
  <si>
    <t>0.89</t>
  </si>
  <si>
    <t>-9570.81</t>
  </si>
  <si>
    <t>-8642.89</t>
  </si>
  <si>
    <t>-8558.55</t>
  </si>
  <si>
    <t>-8636.99</t>
  </si>
  <si>
    <t>-9143.73</t>
  </si>
  <si>
    <t>-9388.51</t>
  </si>
  <si>
    <t>-9543.52</t>
  </si>
  <si>
    <t>-9530.42</t>
  </si>
  <si>
    <t>-8639.41</t>
  </si>
  <si>
    <t>-8566.12</t>
  </si>
  <si>
    <t>-8623.53</t>
  </si>
  <si>
    <t>-9231.07</t>
  </si>
  <si>
    <t>-9133.24</t>
  </si>
  <si>
    <t>-9379.70</t>
  </si>
  <si>
    <t>-9528.00</t>
  </si>
  <si>
    <t>-8652.00</t>
  </si>
  <si>
    <t>-8604.27</t>
  </si>
  <si>
    <t>-8668.47</t>
  </si>
  <si>
    <t>-9225.60</t>
  </si>
  <si>
    <t>-9140.64</t>
  </si>
  <si>
    <t>-9374.30</t>
  </si>
  <si>
    <t>-8612.32</t>
  </si>
  <si>
    <t>-8532.90</t>
  </si>
  <si>
    <t>-8605.13</t>
  </si>
  <si>
    <t>-9126.84</t>
  </si>
  <si>
    <t>-9373.08</t>
  </si>
  <si>
    <t>-9532.31</t>
  </si>
  <si>
    <t>-8583.43</t>
  </si>
  <si>
    <t>-8704.06</t>
  </si>
  <si>
    <t>-9175.09</t>
  </si>
  <si>
    <t>-9393.12</t>
  </si>
  <si>
    <t>-9546.59</t>
  </si>
  <si>
    <t>-9546.07</t>
  </si>
  <si>
    <t>G Variance</t>
  </si>
  <si>
    <t>G SE</t>
  </si>
  <si>
    <t>K Variance</t>
  </si>
  <si>
    <t>K SE</t>
  </si>
  <si>
    <t>F Variance</t>
  </si>
  <si>
    <t>F SE</t>
  </si>
  <si>
    <t>S Variance</t>
  </si>
  <si>
    <t>S SE</t>
  </si>
  <si>
    <t>C Variance</t>
  </si>
  <si>
    <t>C SE</t>
  </si>
  <si>
    <t>V(e) Variance</t>
  </si>
  <si>
    <t>V(e) SE</t>
  </si>
  <si>
    <t>Vp Variance</t>
  </si>
  <si>
    <t>Vp SE</t>
  </si>
  <si>
    <t>G% Variance</t>
  </si>
  <si>
    <t>K% Variance</t>
  </si>
  <si>
    <t>F% Variance</t>
  </si>
  <si>
    <t>S% Variance</t>
  </si>
  <si>
    <t>C% Variance</t>
  </si>
  <si>
    <t>Vp Variance describes the total phenotypic variation</t>
  </si>
  <si>
    <t>V(e) Variance describes the residual variance</t>
  </si>
  <si>
    <t>G variance describes the variance explained by common genetic factors</t>
  </si>
  <si>
    <t>K variance describes the variance explained by pedigree associated genetic factors</t>
  </si>
  <si>
    <t xml:space="preserve">F variance describes the variance explained by the nuclear family enviroment </t>
  </si>
  <si>
    <t>S variance describes the variance explained by the shared sibling enviroment</t>
  </si>
  <si>
    <t>C variance describes the variance explained by the shared couples enviroment</t>
  </si>
  <si>
    <t>(0.014)</t>
  </si>
  <si>
    <t>N/A</t>
  </si>
  <si>
    <t>Cognitive: g*</t>
  </si>
  <si>
    <t>* model failed to converge so fulll output was not derived.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</si>
</sst>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/>
    <xf numFmtId="0" fontId="0" fillId="0" borderId="0" xfId="0" applyFont="1" applyAlignment="1"/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/>
    <xf numFmtId="1" fontId="0" fillId="0" borderId="0" xfId="0" applyNumberForma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/>
    <xf numFmtId="0" fontId="0" fillId="0" borderId="0" xfId="0"/>
  </cellXfs>
  <cellStyles count="1"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ables/table1.xml><?xml version="1.0" encoding="utf-8"?>
<table xmlns="http://schemas.openxmlformats.org/spreadsheetml/2006/main" id="3" name="Table3" displayName="Table3" ref="A1:V9" totalsRowShown="0">
  <tableColumns count="22">
    <tableColumn id="1" name="trait"/>
    <tableColumn id="2" name="G Variance"/>
    <tableColumn id="3" name="G SE"/>
    <tableColumn id="4" name="K Variance"/>
    <tableColumn id="5" name="K SE"/>
    <tableColumn id="6" name="F Variance"/>
    <tableColumn id="7" name="F SE"/>
    <tableColumn id="8" name="S Variance"/>
    <tableColumn id="9" name="S SE"/>
    <tableColumn id="10" name="C Variance"/>
    <tableColumn id="11" name="C SE"/>
    <tableColumn id="12" name="V(e) Variance"/>
    <tableColumn id="13" name="V(e) SE"/>
    <tableColumn id="14" name="Vp Variance"/>
    <tableColumn id="15" name="Vp SE"/>
    <tableColumn id="16" name="G% Variance">
      <calculatedColumnFormula>(Table3[[#This Row],[G Variance]])*100</calculatedColumnFormula>
    </tableColumn>
    <tableColumn id="18" name="K% Variance">
      <calculatedColumnFormula>(Table3[[#This Row],[K Variance]])*100</calculatedColumnFormula>
    </tableColumn>
    <tableColumn id="20" name="F% Variance" dataDxfId="1">
      <calculatedColumnFormula>(Table3[[#This Row],[F Variance]])*100</calculatedColumnFormula>
    </tableColumn>
    <tableColumn id="22" name="S% Variance">
      <calculatedColumnFormula>(Table3[[#This Row],[S Variance]])*100</calculatedColumnFormula>
    </tableColumn>
    <tableColumn id="24" name="C% Variance">
      <calculatedColumnFormula>(Table3[[#This Row],[C Variance]])*100</calculatedColumnFormula>
    </tableColumn>
    <tableColumn id="26" name="logL"/>
    <tableColumn id="27" name="n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2" name="Table12" displayName="Table12" ref="A1:M9" totalsRowShown="0">
  <tableColumns count="13">
    <tableColumn id="1" name="trait"/>
    <tableColumn id="2" name="G Variance"/>
    <tableColumn id="3" name="G SE"/>
    <tableColumn id="4" name="C Variance"/>
    <tableColumn id="5" name="C SE"/>
    <tableColumn id="6" name="V(e) Variance"/>
    <tableColumn id="7" name="V(e) SE"/>
    <tableColumn id="8" name="Vp Variance"/>
    <tableColumn id="9" name="Vp SE"/>
    <tableColumn id="10" name="G% Variance">
      <calculatedColumnFormula>(Table12[[#This Row],[G Variance]])*100</calculatedColumnFormula>
    </tableColumn>
    <tableColumn id="12" name="C% Variance">
      <calculatedColumnFormula>(Table12[[#This Row],[C Variance]])*100</calculatedColumnFormula>
    </tableColumn>
    <tableColumn id="14" name="logL"/>
    <tableColumn id="15" name="n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3" name="Table13" displayName="Table13" ref="A1:M9" totalsRowShown="0">
  <tableColumns count="13">
    <tableColumn id="1" name="trait"/>
    <tableColumn id="2" name="K Variance"/>
    <tableColumn id="3" name="K SE"/>
    <tableColumn id="4" name="F Variance"/>
    <tableColumn id="5" name="F SE"/>
    <tableColumn id="6" name="V(e) Variance"/>
    <tableColumn id="7" name="V(e) SE"/>
    <tableColumn id="8" name="Vp Variance"/>
    <tableColumn id="9" name="Vp SE"/>
    <tableColumn id="10" name="K% Variance">
      <calculatedColumnFormula>(Table13[[#This Row],[K Variance]])*100</calculatedColumnFormula>
    </tableColumn>
    <tableColumn id="12" name="F% Variance">
      <calculatedColumnFormula>(Table13[[#This Row],[F Variance]])*100</calculatedColumnFormula>
    </tableColumn>
    <tableColumn id="14" name="logL"/>
    <tableColumn id="15" name="n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4" name="Table14" displayName="Table14" ref="A1:M9" totalsRowShown="0">
  <tableColumns count="13">
    <tableColumn id="1" name="trait"/>
    <tableColumn id="2" name="K Variance"/>
    <tableColumn id="3" name="K SE"/>
    <tableColumn id="4" name="S Variance"/>
    <tableColumn id="5" name="S SE"/>
    <tableColumn id="6" name="V(e) Variance"/>
    <tableColumn id="7" name="V(e) SE"/>
    <tableColumn id="8" name="Vp Variance"/>
    <tableColumn id="9" name="Vp SE"/>
    <tableColumn id="10" name="K% Variance">
      <calculatedColumnFormula>(Table14[[#This Row],[K Variance]])*100</calculatedColumnFormula>
    </tableColumn>
    <tableColumn id="12" name="S% Variance">
      <calculatedColumnFormula>(Table14[[#This Row],[S Variance]])*100</calculatedColumnFormula>
    </tableColumn>
    <tableColumn id="14" name="logL"/>
    <tableColumn id="15" name="n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5" name="Table15" displayName="Table15" ref="A1:M9" totalsRowShown="0">
  <tableColumns count="13">
    <tableColumn id="1" name="trait"/>
    <tableColumn id="2" name="K Variance"/>
    <tableColumn id="3" name="K SE"/>
    <tableColumn id="4" name="C Variance"/>
    <tableColumn id="5" name="C SE"/>
    <tableColumn id="6" name="V(e) Variance"/>
    <tableColumn id="7" name="V(e) SE"/>
    <tableColumn id="8" name="Vp Variance"/>
    <tableColumn id="9" name="Vp SE"/>
    <tableColumn id="10" name="K% Variance">
      <calculatedColumnFormula>(Table15[[#This Row],[K Variance]])*100</calculatedColumnFormula>
    </tableColumn>
    <tableColumn id="12" name="C% Variance">
      <calculatedColumnFormula>(Table15[[#This Row],[C Variance]])*100</calculatedColumnFormula>
    </tableColumn>
    <tableColumn id="14" name="logL"/>
    <tableColumn id="15" name="n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6" name="Table16" displayName="Table16" ref="A1:M9" totalsRowShown="0">
  <tableColumns count="13">
    <tableColumn id="1" name="trait"/>
    <tableColumn id="2" name="F Variance"/>
    <tableColumn id="3" name="F SE"/>
    <tableColumn id="4" name="S Variance"/>
    <tableColumn id="5" name="S SE"/>
    <tableColumn id="6" name="V(e) Variance"/>
    <tableColumn id="7" name="V(e) SE"/>
    <tableColumn id="8" name="Vp Variance"/>
    <tableColumn id="9" name="Vp SE"/>
    <tableColumn id="10" name="F% Variance">
      <calculatedColumnFormula>(Table16[[#This Row],[F Variance]])*100</calculatedColumnFormula>
    </tableColumn>
    <tableColumn id="12" name="S% Variance">
      <calculatedColumnFormula>(Table16[[#This Row],[S Variance]])*100</calculatedColumnFormula>
    </tableColumn>
    <tableColumn id="14" name="logL"/>
    <tableColumn id="15" name="n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7" name="Table17" displayName="Table17" ref="A1:M9" totalsRowShown="0">
  <tableColumns count="13">
    <tableColumn id="1" name="trait"/>
    <tableColumn id="2" name="S Variance"/>
    <tableColumn id="3" name="S SE"/>
    <tableColumn id="4" name="C Variance"/>
    <tableColumn id="5" name="C SE"/>
    <tableColumn id="6" name="V(e) Variance"/>
    <tableColumn id="7" name="V(e) SE"/>
    <tableColumn id="8" name="Vp Variance"/>
    <tableColumn id="9" name="Vp SE"/>
    <tableColumn id="10" name="S% Variance">
      <calculatedColumnFormula>(Table17[[#This Row],[S Variance]])*100</calculatedColumnFormula>
    </tableColumn>
    <tableColumn id="12" name="C% Variance">
      <calculatedColumnFormula>(Table17[[#This Row],[C Variance]])*100</calculatedColumnFormula>
    </tableColumn>
    <tableColumn id="14" name="logL"/>
    <tableColumn id="15" name="n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8" name="Table18" displayName="Table18" ref="A1:P9" totalsRowShown="0">
  <tableColumns count="16">
    <tableColumn id="1" name="trait"/>
    <tableColumn id="2" name="G Variance"/>
    <tableColumn id="3" name="G SE"/>
    <tableColumn id="4" name="F Variance"/>
    <tableColumn id="5" name="F SE"/>
    <tableColumn id="6" name="C Variance"/>
    <tableColumn id="7" name="C SE"/>
    <tableColumn id="8" name="V(e) Variance"/>
    <tableColumn id="9" name="V(e) SE"/>
    <tableColumn id="10" name="Vp Variance"/>
    <tableColumn id="11" name="Vp SE"/>
    <tableColumn id="12" name="G% Variance">
      <calculatedColumnFormula>(Table18[[#This Row],[G Variance]])*100</calculatedColumnFormula>
    </tableColumn>
    <tableColumn id="14" name="F% Variance">
      <calculatedColumnFormula>(Table18[[#This Row],[F Variance]])*100</calculatedColumnFormula>
    </tableColumn>
    <tableColumn id="16" name="C% Variance">
      <calculatedColumnFormula>(Table18[[#This Row],[C Variance]])*100</calculatedColumnFormula>
    </tableColumn>
    <tableColumn id="18" name="logL"/>
    <tableColumn id="19" name="n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9" name="Table19" displayName="Table19" ref="A1:P9" totalsRowShown="0">
  <tableColumns count="16">
    <tableColumn id="1" name="trait"/>
    <tableColumn id="2" name="G Variance"/>
    <tableColumn id="3" name="G SE"/>
    <tableColumn id="4" name="F Variance"/>
    <tableColumn id="5" name="F SE"/>
    <tableColumn id="6" name="S Variance"/>
    <tableColumn id="7" name="S SE"/>
    <tableColumn id="8" name="V(e) Variance"/>
    <tableColumn id="9" name="V(e) SE"/>
    <tableColumn id="10" name="Vp Variance"/>
    <tableColumn id="11" name="Vp SE"/>
    <tableColumn id="12" name="G% Variance">
      <calculatedColumnFormula>(Table19[[#This Row],[G Variance]])*100</calculatedColumnFormula>
    </tableColumn>
    <tableColumn id="14" name="F% Variance">
      <calculatedColumnFormula>(Table19[[#This Row],[F Variance]])*100</calculatedColumnFormula>
    </tableColumn>
    <tableColumn id="16" name="S% Variance">
      <calculatedColumnFormula>(Table19[[#This Row],[S Variance]])*100</calculatedColumnFormula>
    </tableColumn>
    <tableColumn id="18" name="logL"/>
    <tableColumn id="19" name="n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20" name="Table20" displayName="Table20" ref="A1:P9" totalsRowShown="0">
  <tableColumns count="16">
    <tableColumn id="1" name="trait"/>
    <tableColumn id="2" name="G Variance"/>
    <tableColumn id="3" name="G SE"/>
    <tableColumn id="4" name="K Variance"/>
    <tableColumn id="5" name="K SE"/>
    <tableColumn id="6" name="C Variance"/>
    <tableColumn id="7" name="C SE"/>
    <tableColumn id="8" name="V(e) Variance"/>
    <tableColumn id="9" name="V(e) SE"/>
    <tableColumn id="10" name="Vp Variance"/>
    <tableColumn id="11" name="Vp SE"/>
    <tableColumn id="12" name="G% Variance">
      <calculatedColumnFormula>(Table20[[#This Row],[G Variance]])*100</calculatedColumnFormula>
    </tableColumn>
    <tableColumn id="14" name="K% Variance">
      <calculatedColumnFormula>(Table20[[#This Row],[K Variance]])*100</calculatedColumnFormula>
    </tableColumn>
    <tableColumn id="16" name="C% Variance">
      <calculatedColumnFormula>(Table20[[#This Row],[C Variance]])*100</calculatedColumnFormula>
    </tableColumn>
    <tableColumn id="18" name="logL"/>
    <tableColumn id="19" name="n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21" name="Table21" displayName="Table21" ref="A1:P9" totalsRowShown="0">
  <tableColumns count="16">
    <tableColumn id="1" name="trait"/>
    <tableColumn id="2" name="G Variance"/>
    <tableColumn id="3" name="G SE"/>
    <tableColumn id="4" name="K Variance"/>
    <tableColumn id="5" name="K SE"/>
    <tableColumn id="6" name="F Variance"/>
    <tableColumn id="7" name="F SE"/>
    <tableColumn id="8" name="V(e) Variance"/>
    <tableColumn id="9" name="V(e) SE"/>
    <tableColumn id="10" name="Vp Variance"/>
    <tableColumn id="11" name="Vp SE"/>
    <tableColumn id="12" name="G% Variance">
      <calculatedColumnFormula>(Table21[[#This Row],[G Variance]])*100</calculatedColumnFormula>
    </tableColumn>
    <tableColumn id="14" name="K% Variance">
      <calculatedColumnFormula>(Table21[[#This Row],[K Variance]])*100</calculatedColumnFormula>
    </tableColumn>
    <tableColumn id="16" name="F% Variance">
      <calculatedColumnFormula>(Table21[[#This Row],[F Variance]])*100</calculatedColumnFormula>
    </tableColumn>
    <tableColumn id="18" name="logL"/>
    <tableColumn id="19" name="n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J9" totalsRowShown="0">
  <tableColumns count="10">
    <tableColumn id="1" name="trait"/>
    <tableColumn id="2" name="G Variance"/>
    <tableColumn id="3" name="G SE"/>
    <tableColumn id="4" name="V(e) Variance"/>
    <tableColumn id="5" name="V(e) SE"/>
    <tableColumn id="6" name="Vp Variance"/>
    <tableColumn id="7" name="Vp SE"/>
    <tableColumn id="8" name="G% Variance">
      <calculatedColumnFormula>(Table4[[#This Row],[G Variance]])*100</calculatedColumnFormula>
    </tableColumn>
    <tableColumn id="10" name="logL"/>
    <tableColumn id="11" name="n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2" name="Table22" displayName="Table22" ref="A1:P9" totalsRowShown="0">
  <tableColumns count="16">
    <tableColumn id="1" name="trait"/>
    <tableColumn id="2" name="G Variance"/>
    <tableColumn id="3" name="G SE"/>
    <tableColumn id="4" name="K Variance"/>
    <tableColumn id="5" name="K SE"/>
    <tableColumn id="6" name="S Variance"/>
    <tableColumn id="7" name="S SE"/>
    <tableColumn id="8" name="V(e) Variance"/>
    <tableColumn id="9" name="V(e) SE"/>
    <tableColumn id="10" name="Vp Variance"/>
    <tableColumn id="11" name="Vp SE"/>
    <tableColumn id="12" name="G% Variance">
      <calculatedColumnFormula>(Table22[[#This Row],[G Variance]])*100</calculatedColumnFormula>
    </tableColumn>
    <tableColumn id="14" name="K% Variance">
      <calculatedColumnFormula>(Table22[[#This Row],[K Variance]])*100</calculatedColumnFormula>
    </tableColumn>
    <tableColumn id="16" name="S% Variance">
      <calculatedColumnFormula>(Table22[[#This Row],[S Variance]])*100</calculatedColumnFormula>
    </tableColumn>
    <tableColumn id="18" name="logL"/>
    <tableColumn id="19" name="n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3" name="Table23" displayName="Table23" ref="A1:P9" totalsRowShown="0">
  <tableColumns count="16">
    <tableColumn id="1" name="trait"/>
    <tableColumn id="2" name="G Variance"/>
    <tableColumn id="3" name="G SE"/>
    <tableColumn id="4" name="S Variance"/>
    <tableColumn id="5" name="S SE"/>
    <tableColumn id="6" name="C Variance"/>
    <tableColumn id="7" name="C SE"/>
    <tableColumn id="8" name="V(e) Variance"/>
    <tableColumn id="9" name="V(e) SE"/>
    <tableColumn id="10" name="Vp Variance"/>
    <tableColumn id="11" name="Vp SE"/>
    <tableColumn id="12" name="G% Variance">
      <calculatedColumnFormula>(Table23[[#This Row],[G Variance]])*100</calculatedColumnFormula>
    </tableColumn>
    <tableColumn id="14" name="S% Variance">
      <calculatedColumnFormula>(Table23[[#This Row],[S Variance]])*100</calculatedColumnFormula>
    </tableColumn>
    <tableColumn id="16" name="C% Variance">
      <calculatedColumnFormula>(Table23[[#This Row],[C Variance]])*100</calculatedColumnFormula>
    </tableColumn>
    <tableColumn id="18" name="logL"/>
    <tableColumn id="19" name="n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4" name="Table24" displayName="Table24" ref="A1:P9" totalsRowShown="0">
  <tableColumns count="16">
    <tableColumn id="1" name="trait"/>
    <tableColumn id="2" name="K Variance"/>
    <tableColumn id="3" name="K SE"/>
    <tableColumn id="4" name="F Variance"/>
    <tableColumn id="5" name="F SE"/>
    <tableColumn id="6" name="C Variance"/>
    <tableColumn id="7" name="C SE"/>
    <tableColumn id="8" name="V(e) Variance"/>
    <tableColumn id="9" name="V(e) SE"/>
    <tableColumn id="10" name="Vp Variance"/>
    <tableColumn id="11" name="Vp SE"/>
    <tableColumn id="12" name="K% Variance">
      <calculatedColumnFormula>(Table24[[#This Row],[K Variance]])*100</calculatedColumnFormula>
    </tableColumn>
    <tableColumn id="14" name="F% Variance">
      <calculatedColumnFormula>(Table24[[#This Row],[F Variance]])*100</calculatedColumnFormula>
    </tableColumn>
    <tableColumn id="16" name="C% Variance">
      <calculatedColumnFormula>(Table24[[#This Row],[C Variance]])*100</calculatedColumnFormula>
    </tableColumn>
    <tableColumn id="18" name="logL"/>
    <tableColumn id="19" name="n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5" name="Table25" displayName="Table25" ref="A1:P9" totalsRowShown="0">
  <tableColumns count="16">
    <tableColumn id="1" name="trait"/>
    <tableColumn id="2" name="K Variance"/>
    <tableColumn id="3" name="K SE"/>
    <tableColumn id="4" name="F Variance"/>
    <tableColumn id="5" name="F SE"/>
    <tableColumn id="6" name="S Variance"/>
    <tableColumn id="7" name="S SE"/>
    <tableColumn id="8" name="V(e) Variance"/>
    <tableColumn id="9" name="V(e) SE"/>
    <tableColumn id="10" name="Vp Variance"/>
    <tableColumn id="11" name="Vp SE"/>
    <tableColumn id="12" name="K% Variance">
      <calculatedColumnFormula>(Table25[[#This Row],[K Variance]])*100</calculatedColumnFormula>
    </tableColumn>
    <tableColumn id="14" name="F% Variance">
      <calculatedColumnFormula>(Table25[[#This Row],[F Variance]])*100</calculatedColumnFormula>
    </tableColumn>
    <tableColumn id="16" name="S% Variance">
      <calculatedColumnFormula>(Table25[[#This Row],[S Variance]])*100</calculatedColumnFormula>
    </tableColumn>
    <tableColumn id="18" name="logL"/>
    <tableColumn id="19" name="n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6" name="Table26" displayName="Table26" ref="A1:P9" totalsRowShown="0">
  <tableColumns count="16">
    <tableColumn id="1" name="trait"/>
    <tableColumn id="2" name="K Variance"/>
    <tableColumn id="3" name="K SE"/>
    <tableColumn id="4" name="S Variance"/>
    <tableColumn id="5" name="S SE"/>
    <tableColumn id="6" name="C Variance"/>
    <tableColumn id="7" name="C SE"/>
    <tableColumn id="8" name="V(e) Variance"/>
    <tableColumn id="9" name="V(e) SE"/>
    <tableColumn id="10" name="Vp Variance"/>
    <tableColumn id="11" name="Vp SE"/>
    <tableColumn id="12" name="K% Variance">
      <calculatedColumnFormula>(Table26[[#This Row],[K Variance]])*100</calculatedColumnFormula>
    </tableColumn>
    <tableColumn id="14" name="S% Variance">
      <calculatedColumnFormula>(Table26[[#This Row],[S Variance]])*100</calculatedColumnFormula>
    </tableColumn>
    <tableColumn id="16" name="C% Variance">
      <calculatedColumnFormula>(Table26[[#This Row],[C Variance]])*100</calculatedColumnFormula>
    </tableColumn>
    <tableColumn id="18" name="logL"/>
    <tableColumn id="19" name="n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7" name="Table27" displayName="Table27" ref="A1:P9" totalsRowShown="0">
  <tableColumns count="16">
    <tableColumn id="1" name="trait"/>
    <tableColumn id="2" name="F Variance"/>
    <tableColumn id="3" name="F SE"/>
    <tableColumn id="4" name="S Variance"/>
    <tableColumn id="5" name="S SE"/>
    <tableColumn id="6" name="C Variance"/>
    <tableColumn id="7" name="C SE"/>
    <tableColumn id="8" name="V(e) Variance"/>
    <tableColumn id="9" name="V(e) SE"/>
    <tableColumn id="10" name="Vp Variance"/>
    <tableColumn id="11" name="Vp SE"/>
    <tableColumn id="12" name="F% Variance">
      <calculatedColumnFormula>(Table27[[#This Row],[F Variance]])*100</calculatedColumnFormula>
    </tableColumn>
    <tableColumn id="14" name="S% Variance">
      <calculatedColumnFormula>(Table27[[#This Row],[S Variance]])*100</calculatedColumnFormula>
    </tableColumn>
    <tableColumn id="16" name="C% Variance">
      <calculatedColumnFormula>(Table27[[#This Row],[C Variance]])*100</calculatedColumnFormula>
    </tableColumn>
    <tableColumn id="18" name="logL"/>
    <tableColumn id="19" name="n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8" name="Table28" displayName="Table28" ref="A1:S9" totalsRowShown="0">
  <tableColumns count="19">
    <tableColumn id="1" name="trait"/>
    <tableColumn id="2" name="G Variance"/>
    <tableColumn id="3" name="G SE"/>
    <tableColumn id="4" name="F Variance"/>
    <tableColumn id="5" name="F SE"/>
    <tableColumn id="6" name="S Variance"/>
    <tableColumn id="7" name="S SE"/>
    <tableColumn id="8" name="C Variance"/>
    <tableColumn id="9" name="C SE"/>
    <tableColumn id="10" name="V(e) Variance"/>
    <tableColumn id="11" name="V(e) SE"/>
    <tableColumn id="12" name="Vp Variance"/>
    <tableColumn id="13" name="Vp SE"/>
    <tableColumn id="14" name="G% Variance">
      <calculatedColumnFormula>(Table28[[#This Row],[G Variance]])*100</calculatedColumnFormula>
    </tableColumn>
    <tableColumn id="16" name="F% Variance">
      <calculatedColumnFormula>(Table28[[#This Row],[F Variance]])*100</calculatedColumnFormula>
    </tableColumn>
    <tableColumn id="18" name="S% Variance">
      <calculatedColumnFormula>(Table28[[#This Row],[S Variance]])*100</calculatedColumnFormula>
    </tableColumn>
    <tableColumn id="20" name="C% Variance">
      <calculatedColumnFormula>(Table28[[#This Row],[C Variance]])*100</calculatedColumnFormula>
    </tableColumn>
    <tableColumn id="22" name="logL"/>
    <tableColumn id="23" name="n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9" name="Table29" displayName="Table29" ref="A1:S9" totalsRowShown="0">
  <tableColumns count="19">
    <tableColumn id="1" name="trait"/>
    <tableColumn id="2" name="G Variance"/>
    <tableColumn id="3" name="G SE"/>
    <tableColumn id="4" name="K Variance"/>
    <tableColumn id="5" name="K SE"/>
    <tableColumn id="6" name="F Variance"/>
    <tableColumn id="7" name="F SE"/>
    <tableColumn id="8" name="C Variance"/>
    <tableColumn id="9" name="C SE"/>
    <tableColumn id="10" name="V(e) Variance"/>
    <tableColumn id="11" name="V(e) SE"/>
    <tableColumn id="12" name="Vp Variance"/>
    <tableColumn id="13" name="Vp SE"/>
    <tableColumn id="14" name="G% Variance">
      <calculatedColumnFormula>(Table29[[#This Row],[G Variance]])*100</calculatedColumnFormula>
    </tableColumn>
    <tableColumn id="16" name="K% Variance">
      <calculatedColumnFormula>(Table29[[#This Row],[K Variance]])*100</calculatedColumnFormula>
    </tableColumn>
    <tableColumn id="18" name="F% Variance">
      <calculatedColumnFormula>(Table29[[#This Row],[F Variance]])*100</calculatedColumnFormula>
    </tableColumn>
    <tableColumn id="20" name="C% Variance">
      <calculatedColumnFormula>(Table29[[#This Row],[C Variance]])*100</calculatedColumnFormula>
    </tableColumn>
    <tableColumn id="22" name="logL"/>
    <tableColumn id="23" name="n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30" name="Table30" displayName="Table30" ref="A1:S9" totalsRowShown="0">
  <tableColumns count="19">
    <tableColumn id="1" name="trait"/>
    <tableColumn id="2" name="G Variance"/>
    <tableColumn id="3" name="G SE"/>
    <tableColumn id="4" name="K Variance"/>
    <tableColumn id="5" name="K SE"/>
    <tableColumn id="6" name="F Variance"/>
    <tableColumn id="7" name="F SE"/>
    <tableColumn id="8" name="S Variance"/>
    <tableColumn id="9" name="S SE"/>
    <tableColumn id="10" name="V(e) Variance"/>
    <tableColumn id="11" name="V(e) SE"/>
    <tableColumn id="12" name="Vp Variance"/>
    <tableColumn id="13" name="Vp SE"/>
    <tableColumn id="14" name="G% Variance">
      <calculatedColumnFormula>(Table30[[#This Row],[G Variance]])*100</calculatedColumnFormula>
    </tableColumn>
    <tableColumn id="16" name="K% Variance">
      <calculatedColumnFormula>(Table30[[#This Row],[K Variance]])*100</calculatedColumnFormula>
    </tableColumn>
    <tableColumn id="18" name="F% Variance">
      <calculatedColumnFormula>(Table30[[#This Row],[F Variance]])*100</calculatedColumnFormula>
    </tableColumn>
    <tableColumn id="20" name="S% Variance">
      <calculatedColumnFormula>(Table30[[#This Row],[S Variance]])*100</calculatedColumnFormula>
    </tableColumn>
    <tableColumn id="22" name="logL"/>
    <tableColumn id="23" name="n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31" name="Table31" displayName="Table31" ref="A1:S9" totalsRowShown="0">
  <tableColumns count="19">
    <tableColumn id="1" name="trait"/>
    <tableColumn id="2" name="G Variance"/>
    <tableColumn id="3" name="G SE"/>
    <tableColumn id="4" name="K Variance"/>
    <tableColumn id="5" name="K SE"/>
    <tableColumn id="6" name="S Variance"/>
    <tableColumn id="7" name="S SE"/>
    <tableColumn id="8" name="C Variance"/>
    <tableColumn id="9" name="C SE"/>
    <tableColumn id="10" name="V(e) Variance"/>
    <tableColumn id="11" name="V(e) SE"/>
    <tableColumn id="12" name="Vp Variance"/>
    <tableColumn id="13" name="Vp SE"/>
    <tableColumn id="14" name="G% Variance">
      <calculatedColumnFormula>(Table31[[#This Row],[G Variance]])*100</calculatedColumnFormula>
    </tableColumn>
    <tableColumn id="16" name="K% Variance">
      <calculatedColumnFormula>(Table31[[#This Row],[K Variance]])*100</calculatedColumnFormula>
    </tableColumn>
    <tableColumn id="18" name="S% Variance">
      <calculatedColumnFormula>(Table31[[#This Row],[S Variance]])*100</calculatedColumnFormula>
    </tableColumn>
    <tableColumn id="20" name="C% Variance">
      <calculatedColumnFormula>(Table31[[#This Row],[C Variance]])*100</calculatedColumnFormula>
    </tableColumn>
    <tableColumn id="22" name="logL"/>
    <tableColumn id="23" name="n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A1:J9" totalsRowShown="0">
  <tableColumns count="10">
    <tableColumn id="1" name="trait"/>
    <tableColumn id="2" name="K Variance"/>
    <tableColumn id="3" name="K SE"/>
    <tableColumn id="4" name="V(e) Variance"/>
    <tableColumn id="5" name="V(e) SE"/>
    <tableColumn id="6" name="Vp Variance"/>
    <tableColumn id="7" name="Vp SE"/>
    <tableColumn id="8" name="K% Variance">
      <calculatedColumnFormula>(Table5[[#This Row],[K Variance]])*100</calculatedColumnFormula>
    </tableColumn>
    <tableColumn id="10" name="logL"/>
    <tableColumn id="11" name="n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2" name="Table32" displayName="Table32" ref="A1:S9" totalsRowShown="0">
  <tableColumns count="19">
    <tableColumn id="1" name="trait"/>
    <tableColumn id="2" name="K Variance"/>
    <tableColumn id="3" name="K SE"/>
    <tableColumn id="4" name="F Variance"/>
    <tableColumn id="5" name="F SE"/>
    <tableColumn id="6" name="S Variance"/>
    <tableColumn id="7" name="S SE"/>
    <tableColumn id="8" name="C Variance"/>
    <tableColumn id="9" name="C SE"/>
    <tableColumn id="10" name="V(e) Variance"/>
    <tableColumn id="11" name="V(e) SE"/>
    <tableColumn id="12" name="Vp Variance"/>
    <tableColumn id="13" name="Vp SE"/>
    <tableColumn id="14" name="K% Variance">
      <calculatedColumnFormula>(Table32[[#This Row],[K Variance]])*100</calculatedColumnFormula>
    </tableColumn>
    <tableColumn id="16" name="F% Variance">
      <calculatedColumnFormula>(Table32[[#This Row],[F Variance]])*100</calculatedColumnFormula>
    </tableColumn>
    <tableColumn id="18" name="S% Variance">
      <calculatedColumnFormula>(Table32[[#This Row],[S Variance]])*100</calculatedColumnFormula>
    </tableColumn>
    <tableColumn id="20" name="C% Variance">
      <calculatedColumnFormula>(Table32[[#This Row],[C Variance]])*100</calculatedColumnFormula>
    </tableColumn>
    <tableColumn id="22" name="logL"/>
    <tableColumn id="23" name="n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A1:J9" totalsRowShown="0">
  <tableColumns count="10">
    <tableColumn id="1" name="trait"/>
    <tableColumn id="2" name="F Variance"/>
    <tableColumn id="3" name="F SE"/>
    <tableColumn id="4" name="V(e) Variance"/>
    <tableColumn id="5" name="V(e) SE"/>
    <tableColumn id="6" name="Vp Variance"/>
    <tableColumn id="7" name="Vp SE"/>
    <tableColumn id="8" name="F% Variance">
      <calculatedColumnFormula>(Table6[[#This Row],[F Variance]])*100</calculatedColumnFormula>
    </tableColumn>
    <tableColumn id="10" name="logL"/>
    <tableColumn id="11" name="n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7" name="Table7" displayName="Table7" ref="A1:J9" totalsRowShown="0">
  <tableColumns count="10">
    <tableColumn id="1" name="trait"/>
    <tableColumn id="2" name="S Variance"/>
    <tableColumn id="3" name="S SE"/>
    <tableColumn id="4" name="V(e) Variance"/>
    <tableColumn id="5" name="V(e) SE"/>
    <tableColumn id="6" name="Vp Variance"/>
    <tableColumn id="7" name="Vp SE"/>
    <tableColumn id="8" name="S% Variance">
      <calculatedColumnFormula>(Table7[[#This Row],[S Variance]])*100</calculatedColumnFormula>
    </tableColumn>
    <tableColumn id="10" name="logL"/>
    <tableColumn id="11" name="n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8" name="Table8" displayName="Table8" ref="A1:J9" totalsRowShown="0">
  <tableColumns count="10">
    <tableColumn id="1" name="trait"/>
    <tableColumn id="2" name="C Variance"/>
    <tableColumn id="3" name="C SE"/>
    <tableColumn id="4" name="V(e) Variance"/>
    <tableColumn id="5" name="V(e) SE"/>
    <tableColumn id="6" name="Vp Variance"/>
    <tableColumn id="7" name="Vp SE"/>
    <tableColumn id="8" name="C% Variance">
      <calculatedColumnFormula>(Table8[[#This Row],[C Variance]])*100</calculatedColumnFormula>
    </tableColumn>
    <tableColumn id="10" name="logL"/>
    <tableColumn id="11" name="n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le9" ref="A1:M9" totalsRowShown="0">
  <tableColumns count="13">
    <tableColumn id="1" name="trait"/>
    <tableColumn id="2" name="G Variance"/>
    <tableColumn id="3" name="G SE"/>
    <tableColumn id="4" name="K Variance"/>
    <tableColumn id="5" name="K SE"/>
    <tableColumn id="6" name="V(e) Variance"/>
    <tableColumn id="7" name="V(e) SE"/>
    <tableColumn id="8" name="Vp Variance"/>
    <tableColumn id="9" name="Vp SE"/>
    <tableColumn id="10" name="G% Variance">
      <calculatedColumnFormula>(Table9[[#This Row],[G Variance]])*100</calculatedColumnFormula>
    </tableColumn>
    <tableColumn id="12" name="K% Variance" dataDxfId="0">
      <calculatedColumnFormula>(Table9[[#This Row],[K Variance]])*100</calculatedColumnFormula>
    </tableColumn>
    <tableColumn id="14" name="logL"/>
    <tableColumn id="15" name="n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10" name="Table10" displayName="Table10" ref="A1:M9" totalsRowShown="0">
  <tableColumns count="13">
    <tableColumn id="1" name="trait"/>
    <tableColumn id="2" name="G Variance"/>
    <tableColumn id="3" name="G SE"/>
    <tableColumn id="4" name="F Variance"/>
    <tableColumn id="5" name="F SE"/>
    <tableColumn id="6" name="V(e) Variance"/>
    <tableColumn id="7" name="V(e) SE"/>
    <tableColumn id="8" name="Vp Variance"/>
    <tableColumn id="9" name="Vp SE"/>
    <tableColumn id="10" name="G% Variance">
      <calculatedColumnFormula>(Table10[[#This Row],[G Variance]])*100</calculatedColumnFormula>
    </tableColumn>
    <tableColumn id="12" name="F% Variance">
      <calculatedColumnFormula>(Table10[[#This Row],[F Variance]])*100</calculatedColumnFormula>
    </tableColumn>
    <tableColumn id="14" name="logL"/>
    <tableColumn id="15" name="n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11" name="Table11" displayName="Table11" ref="A1:M9" totalsRowShown="0">
  <tableColumns count="13">
    <tableColumn id="1" name="trait"/>
    <tableColumn id="2" name="G Variance"/>
    <tableColumn id="3" name="G SE"/>
    <tableColumn id="4" name="S Variance"/>
    <tableColumn id="5" name="S SE"/>
    <tableColumn id="6" name="V(e) Variance"/>
    <tableColumn id="7" name="V(e) SE"/>
    <tableColumn id="8" name="Vp Variance"/>
    <tableColumn id="9" name="Vp SE"/>
    <tableColumn id="10" name="G% Variance">
      <calculatedColumnFormula>(Table11[[#This Row],[G Variance]])*100</calculatedColumnFormula>
    </tableColumn>
    <tableColumn id="12" name="S% Variance">
      <calculatedColumnFormula>(Table11[[#This Row],[S Variance]])*100</calculatedColumnFormula>
    </tableColumn>
    <tableColumn id="14" name="logL"/>
    <tableColumn id="15" name="n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8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workbookViewId="0">
      <selection activeCell="F21" sqref="F21"/>
    </sheetView>
  </sheetViews>
  <sheetFormatPr defaultColWidth="8.85546875" defaultRowHeight="15" x14ac:dyDescent="0.25"/>
  <cols>
    <col min="1" max="1" width="33.7109375" customWidth="1"/>
    <col min="2" max="2" width="10.7109375" customWidth="1"/>
    <col min="3" max="3" width="6.7109375" customWidth="1"/>
    <col min="4" max="4" width="10.7109375" customWidth="1"/>
    <col min="5" max="5" width="6.7109375" customWidth="1"/>
    <col min="6" max="6" width="10.7109375" customWidth="1"/>
    <col min="7" max="7" width="6.7109375" customWidth="1"/>
    <col min="8" max="8" width="10.7109375" customWidth="1"/>
    <col min="9" max="9" width="6.7109375" customWidth="1"/>
    <col min="10" max="10" width="10.7109375" customWidth="1"/>
    <col min="11" max="11" width="6.7109375" customWidth="1"/>
    <col min="12" max="12" width="13.7109375" customWidth="1"/>
    <col min="13" max="13" width="7.7109375" customWidth="1"/>
    <col min="14" max="14" width="11.7109375" customWidth="1"/>
    <col min="15" max="15" width="6.7109375" customWidth="1"/>
    <col min="16" max="20" width="11.7109375" customWidth="1"/>
    <col min="21" max="22" width="8.7109375" customWidth="1"/>
    <col min="23" max="95" width="9.140625" customWidth="1"/>
  </cols>
  <sheetData>
    <row r="1" spans="1:22" ht="21" customHeight="1" x14ac:dyDescent="0.25">
      <c r="A1" t="s">
        <v>0</v>
      </c>
      <c r="B1" t="s">
        <v>339</v>
      </c>
      <c r="C1" t="s">
        <v>340</v>
      </c>
      <c r="D1" t="s">
        <v>341</v>
      </c>
      <c r="E1" t="s">
        <v>342</v>
      </c>
      <c r="F1" t="s">
        <v>343</v>
      </c>
      <c r="G1" t="s">
        <v>344</v>
      </c>
      <c r="H1" t="s">
        <v>345</v>
      </c>
      <c r="I1" t="s">
        <v>346</v>
      </c>
      <c r="J1" t="s">
        <v>347</v>
      </c>
      <c r="K1" t="s">
        <v>348</v>
      </c>
      <c r="L1" t="s">
        <v>349</v>
      </c>
      <c r="M1" t="s">
        <v>350</v>
      </c>
      <c r="N1" t="s">
        <v>351</v>
      </c>
      <c r="O1" t="s">
        <v>352</v>
      </c>
      <c r="P1" t="s">
        <v>353</v>
      </c>
      <c r="Q1" t="s">
        <v>354</v>
      </c>
      <c r="R1" t="s">
        <v>355</v>
      </c>
      <c r="S1" t="s">
        <v>356</v>
      </c>
      <c r="T1" t="s">
        <v>357</v>
      </c>
      <c r="U1" t="s">
        <v>1</v>
      </c>
      <c r="V1" t="s">
        <v>2</v>
      </c>
    </row>
    <row r="2" spans="1:22" x14ac:dyDescent="0.25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5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7</v>
      </c>
      <c r="N2" t="s">
        <v>14</v>
      </c>
      <c r="O2" t="s">
        <v>10</v>
      </c>
      <c r="P2">
        <f>(Table3[[#This Row],[G Variance]])*100</f>
        <v>21</v>
      </c>
      <c r="Q2">
        <f>(Table3[[#This Row],[K Variance]])*100</f>
        <v>41</v>
      </c>
      <c r="R2">
        <f>(Table3[[#This Row],[F Variance]])*100</f>
        <v>0</v>
      </c>
      <c r="S2">
        <f>(Table3[[#This Row],[S Variance]])*100</f>
        <v>9</v>
      </c>
      <c r="T2">
        <f>(Table3[[#This Row],[C Variance]])*100</f>
        <v>26</v>
      </c>
      <c r="U2" t="s">
        <v>15</v>
      </c>
      <c r="V2" t="s">
        <v>16</v>
      </c>
    </row>
    <row r="3" spans="1:22" x14ac:dyDescent="0.25">
      <c r="A3" t="s">
        <v>17</v>
      </c>
      <c r="B3" t="s">
        <v>18</v>
      </c>
      <c r="C3" t="s">
        <v>5</v>
      </c>
      <c r="D3" t="s">
        <v>19</v>
      </c>
      <c r="E3" t="s">
        <v>7</v>
      </c>
      <c r="F3" t="s">
        <v>8</v>
      </c>
      <c r="G3" t="s">
        <v>5</v>
      </c>
      <c r="H3" t="s">
        <v>20</v>
      </c>
      <c r="I3" t="s">
        <v>10</v>
      </c>
      <c r="J3" t="s">
        <v>21</v>
      </c>
      <c r="K3" t="s">
        <v>12</v>
      </c>
      <c r="L3" t="s">
        <v>8</v>
      </c>
      <c r="M3" t="s">
        <v>7</v>
      </c>
      <c r="N3" t="s">
        <v>22</v>
      </c>
      <c r="O3" t="s">
        <v>10</v>
      </c>
      <c r="P3">
        <f>(Table3[[#This Row],[G Variance]])*100</f>
        <v>13</v>
      </c>
      <c r="Q3">
        <f>(Table3[[#This Row],[K Variance]])*100</f>
        <v>40</v>
      </c>
      <c r="R3">
        <f>(Table3[[#This Row],[F Variance]])*100</f>
        <v>0</v>
      </c>
      <c r="S3">
        <f>(Table3[[#This Row],[S Variance]])*100</f>
        <v>11</v>
      </c>
      <c r="T3">
        <f>(Table3[[#This Row],[C Variance]])*100</f>
        <v>36</v>
      </c>
      <c r="U3" t="s">
        <v>24</v>
      </c>
      <c r="V3" t="s">
        <v>25</v>
      </c>
    </row>
    <row r="4" spans="1:22" x14ac:dyDescent="0.25">
      <c r="A4" t="s">
        <v>26</v>
      </c>
      <c r="B4" t="s">
        <v>27</v>
      </c>
      <c r="C4" t="s">
        <v>5</v>
      </c>
      <c r="D4" t="s">
        <v>23</v>
      </c>
      <c r="E4" t="s">
        <v>7</v>
      </c>
      <c r="F4" t="s">
        <v>8</v>
      </c>
      <c r="G4" t="s">
        <v>5</v>
      </c>
      <c r="H4" t="s">
        <v>28</v>
      </c>
      <c r="I4" t="s">
        <v>10</v>
      </c>
      <c r="J4" t="s">
        <v>29</v>
      </c>
      <c r="K4" t="s">
        <v>12</v>
      </c>
      <c r="L4" t="s">
        <v>8</v>
      </c>
      <c r="M4" t="s">
        <v>7</v>
      </c>
      <c r="N4" t="s">
        <v>14</v>
      </c>
      <c r="O4" t="s">
        <v>10</v>
      </c>
      <c r="P4">
        <f>(Table3[[#This Row],[G Variance]])*100</f>
        <v>23</v>
      </c>
      <c r="Q4">
        <f>(Table3[[#This Row],[K Variance]])*100</f>
        <v>39</v>
      </c>
      <c r="R4">
        <f>(Table3[[#This Row],[F Variance]])*100</f>
        <v>0</v>
      </c>
      <c r="S4">
        <f>(Table3[[#This Row],[S Variance]])*100</f>
        <v>6</v>
      </c>
      <c r="T4">
        <f>(Table3[[#This Row],[C Variance]])*100</f>
        <v>30</v>
      </c>
      <c r="U4" t="s">
        <v>31</v>
      </c>
      <c r="V4" t="s">
        <v>32</v>
      </c>
    </row>
    <row r="5" spans="1:22" x14ac:dyDescent="0.25">
      <c r="A5" t="s">
        <v>33</v>
      </c>
      <c r="B5" t="s">
        <v>34</v>
      </c>
      <c r="C5" t="s">
        <v>5</v>
      </c>
      <c r="D5" t="s">
        <v>27</v>
      </c>
      <c r="E5" t="s">
        <v>7</v>
      </c>
      <c r="F5" t="s">
        <v>8</v>
      </c>
      <c r="G5" t="s">
        <v>5</v>
      </c>
      <c r="H5" t="s">
        <v>35</v>
      </c>
      <c r="I5" t="s">
        <v>10</v>
      </c>
      <c r="J5" t="s">
        <v>36</v>
      </c>
      <c r="K5" t="s">
        <v>12</v>
      </c>
      <c r="L5" t="s">
        <v>37</v>
      </c>
      <c r="M5" t="s">
        <v>7</v>
      </c>
      <c r="N5" t="s">
        <v>22</v>
      </c>
      <c r="O5" t="s">
        <v>10</v>
      </c>
      <c r="P5">
        <f>(Table3[[#This Row],[G Variance]])*100</f>
        <v>20</v>
      </c>
      <c r="Q5">
        <f>(Table3[[#This Row],[K Variance]])*100</f>
        <v>23</v>
      </c>
      <c r="R5">
        <f>(Table3[[#This Row],[F Variance]])*100</f>
        <v>0</v>
      </c>
      <c r="S5">
        <f>(Table3[[#This Row],[S Variance]])*100</f>
        <v>8</v>
      </c>
      <c r="T5">
        <f>(Table3[[#This Row],[C Variance]])*100</f>
        <v>17</v>
      </c>
      <c r="U5" t="s">
        <v>38</v>
      </c>
      <c r="V5" t="s">
        <v>39</v>
      </c>
    </row>
    <row r="6" spans="1:22" x14ac:dyDescent="0.25">
      <c r="A6" t="s">
        <v>40</v>
      </c>
      <c r="B6" t="s">
        <v>41</v>
      </c>
      <c r="C6" t="s">
        <v>5</v>
      </c>
      <c r="D6" t="s">
        <v>30</v>
      </c>
      <c r="E6" t="s">
        <v>7</v>
      </c>
      <c r="F6" t="s">
        <v>8</v>
      </c>
      <c r="G6" t="s">
        <v>5</v>
      </c>
      <c r="H6" t="s">
        <v>42</v>
      </c>
      <c r="I6" t="s">
        <v>10</v>
      </c>
      <c r="J6" t="s">
        <v>43</v>
      </c>
      <c r="K6" t="s">
        <v>12</v>
      </c>
      <c r="L6" t="s">
        <v>29</v>
      </c>
      <c r="M6" t="s">
        <v>7</v>
      </c>
      <c r="N6" t="s">
        <v>22</v>
      </c>
      <c r="O6" t="s">
        <v>10</v>
      </c>
      <c r="P6">
        <f>(Table3[[#This Row],[G Variance]])*100</f>
        <v>18</v>
      </c>
      <c r="Q6">
        <f>(Table3[[#This Row],[K Variance]])*100</f>
        <v>31</v>
      </c>
      <c r="R6">
        <f>(Table3[[#This Row],[F Variance]])*100</f>
        <v>0</v>
      </c>
      <c r="S6">
        <f>(Table3[[#This Row],[S Variance]])*100</f>
        <v>5</v>
      </c>
      <c r="T6">
        <f>(Table3[[#This Row],[C Variance]])*100</f>
        <v>16</v>
      </c>
      <c r="U6" t="s">
        <v>44</v>
      </c>
      <c r="V6" t="s">
        <v>45</v>
      </c>
    </row>
    <row r="7" spans="1:22" x14ac:dyDescent="0.25">
      <c r="A7" t="s">
        <v>46</v>
      </c>
      <c r="B7" t="s">
        <v>20</v>
      </c>
      <c r="C7" t="s">
        <v>5</v>
      </c>
      <c r="D7" t="s">
        <v>47</v>
      </c>
      <c r="E7" t="s">
        <v>7</v>
      </c>
      <c r="F7" t="s">
        <v>8</v>
      </c>
      <c r="G7" t="s">
        <v>5</v>
      </c>
      <c r="H7" t="s">
        <v>42</v>
      </c>
      <c r="I7" t="s">
        <v>10</v>
      </c>
      <c r="J7" t="s">
        <v>42</v>
      </c>
      <c r="K7" t="s">
        <v>12</v>
      </c>
      <c r="L7" t="s">
        <v>48</v>
      </c>
      <c r="M7" t="s">
        <v>7</v>
      </c>
      <c r="N7" t="s">
        <v>22</v>
      </c>
      <c r="O7" t="s">
        <v>10</v>
      </c>
      <c r="P7">
        <f>(Table3[[#This Row],[G Variance]])*100</f>
        <v>11</v>
      </c>
      <c r="Q7">
        <f>(Table3[[#This Row],[K Variance]])*100</f>
        <v>24</v>
      </c>
      <c r="R7">
        <f>(Table3[[#This Row],[F Variance]])*100</f>
        <v>0</v>
      </c>
      <c r="S7">
        <f>(Table3[[#This Row],[S Variance]])*100</f>
        <v>5</v>
      </c>
      <c r="T7">
        <f>(Table3[[#This Row],[C Variance]])*100</f>
        <v>5</v>
      </c>
      <c r="U7" t="s">
        <v>49</v>
      </c>
      <c r="V7" t="s">
        <v>50</v>
      </c>
    </row>
    <row r="8" spans="1:22" x14ac:dyDescent="0.25">
      <c r="A8" t="s">
        <v>51</v>
      </c>
      <c r="B8" t="s">
        <v>20</v>
      </c>
      <c r="C8" t="s">
        <v>5</v>
      </c>
      <c r="D8" t="s">
        <v>52</v>
      </c>
      <c r="E8" t="s">
        <v>7</v>
      </c>
      <c r="F8" t="s">
        <v>13</v>
      </c>
      <c r="G8" t="s">
        <v>5</v>
      </c>
      <c r="H8" t="s">
        <v>8</v>
      </c>
      <c r="I8" t="s">
        <v>10</v>
      </c>
      <c r="J8" t="s">
        <v>8</v>
      </c>
      <c r="K8" t="s">
        <v>12</v>
      </c>
      <c r="L8" t="s">
        <v>53</v>
      </c>
      <c r="M8" t="s">
        <v>7</v>
      </c>
      <c r="N8" t="s">
        <v>22</v>
      </c>
      <c r="O8" t="s">
        <v>10</v>
      </c>
      <c r="P8">
        <f>(Table3[[#This Row],[G Variance]])*100</f>
        <v>11</v>
      </c>
      <c r="Q8">
        <f>(Table3[[#This Row],[K Variance]])*100</f>
        <v>15</v>
      </c>
      <c r="R8">
        <f>(Table3[[#This Row],[F Variance]])*100</f>
        <v>2</v>
      </c>
      <c r="S8">
        <f>(Table3[[#This Row],[S Variance]])*100</f>
        <v>0</v>
      </c>
      <c r="T8">
        <f>(Table3[[#This Row],[C Variance]])*100</f>
        <v>0</v>
      </c>
      <c r="U8" t="s">
        <v>54</v>
      </c>
      <c r="V8" t="s">
        <v>55</v>
      </c>
    </row>
    <row r="9" spans="1:22" x14ac:dyDescent="0.25">
      <c r="A9" t="s">
        <v>56</v>
      </c>
      <c r="B9" t="s">
        <v>20</v>
      </c>
      <c r="C9" t="s">
        <v>5</v>
      </c>
      <c r="D9" t="s">
        <v>42</v>
      </c>
      <c r="E9" t="s">
        <v>7</v>
      </c>
      <c r="F9" t="s">
        <v>57</v>
      </c>
      <c r="G9" t="s">
        <v>12</v>
      </c>
      <c r="H9" t="s">
        <v>8</v>
      </c>
      <c r="I9" t="s">
        <v>10</v>
      </c>
      <c r="J9" t="s">
        <v>8</v>
      </c>
      <c r="K9" t="s">
        <v>12</v>
      </c>
      <c r="L9" t="s">
        <v>58</v>
      </c>
      <c r="M9" t="s">
        <v>7</v>
      </c>
      <c r="N9" t="s">
        <v>22</v>
      </c>
      <c r="O9" t="s">
        <v>10</v>
      </c>
      <c r="P9">
        <f>(Table3[[#This Row],[G Variance]])*100</f>
        <v>11</v>
      </c>
      <c r="Q9">
        <f>(Table3[[#This Row],[K Variance]])*100</f>
        <v>5</v>
      </c>
      <c r="R9">
        <f>(Table3[[#This Row],[F Variance]])*100</f>
        <v>7.0000000000000009</v>
      </c>
      <c r="S9">
        <f>(Table3[[#This Row],[S Variance]])*100</f>
        <v>0</v>
      </c>
      <c r="T9">
        <f>(Table3[[#This Row],[C Variance]])*100</f>
        <v>0</v>
      </c>
      <c r="U9" t="s">
        <v>59</v>
      </c>
      <c r="V9" t="s">
        <v>60</v>
      </c>
    </row>
    <row r="12" spans="1:22" x14ac:dyDescent="0.25">
      <c r="A12" s="10" t="s">
        <v>360</v>
      </c>
      <c r="B12" s="10"/>
      <c r="C12" s="10"/>
      <c r="D12" s="10"/>
      <c r="E12" s="10"/>
      <c r="F12" s="10"/>
      <c r="G12" s="10"/>
      <c r="H12" s="3"/>
    </row>
    <row r="13" spans="1:22" x14ac:dyDescent="0.25">
      <c r="A13" s="10" t="s">
        <v>361</v>
      </c>
      <c r="B13" s="10"/>
      <c r="C13" s="10"/>
      <c r="D13" s="10"/>
      <c r="E13" s="10"/>
      <c r="F13" s="10"/>
      <c r="G13" s="10"/>
      <c r="H13" s="3"/>
    </row>
    <row r="14" spans="1:22" x14ac:dyDescent="0.25">
      <c r="A14" s="10" t="s">
        <v>362</v>
      </c>
      <c r="B14" s="10"/>
      <c r="C14" s="10"/>
      <c r="D14" s="10"/>
      <c r="E14" s="10"/>
      <c r="F14" s="10"/>
      <c r="G14" s="10"/>
      <c r="H14" s="3"/>
    </row>
    <row r="15" spans="1:22" x14ac:dyDescent="0.25">
      <c r="A15" s="10" t="s">
        <v>363</v>
      </c>
      <c r="B15" s="10"/>
      <c r="C15" s="10"/>
      <c r="D15" s="10"/>
      <c r="E15" s="10"/>
      <c r="F15" s="10"/>
      <c r="G15" s="10"/>
      <c r="H15" s="3"/>
    </row>
    <row r="16" spans="1:22" x14ac:dyDescent="0.25">
      <c r="A16" s="10" t="s">
        <v>364</v>
      </c>
      <c r="B16" s="10"/>
      <c r="C16" s="10"/>
      <c r="D16" s="10"/>
      <c r="E16" s="10"/>
      <c r="F16" s="10"/>
      <c r="G16" s="10"/>
      <c r="H16" s="3"/>
    </row>
    <row r="17" spans="1:8" x14ac:dyDescent="0.25">
      <c r="A17" s="9" t="s">
        <v>359</v>
      </c>
      <c r="B17" s="9"/>
      <c r="C17" s="9"/>
      <c r="D17" s="9"/>
      <c r="E17" s="9"/>
      <c r="F17" s="9"/>
      <c r="G17" s="9"/>
      <c r="H17" s="3"/>
    </row>
    <row r="18" spans="1:8" x14ac:dyDescent="0.25">
      <c r="A18" s="9" t="s">
        <v>358</v>
      </c>
      <c r="B18" s="9"/>
      <c r="C18" s="9"/>
      <c r="D18" s="9"/>
      <c r="E18" s="9"/>
      <c r="F18" s="9"/>
      <c r="G18" s="9"/>
      <c r="H18" s="3"/>
    </row>
  </sheetData>
  <mergeCells count="7">
    <mergeCell ref="A18:G18"/>
    <mergeCell ref="A12:G12"/>
    <mergeCell ref="A13:G13"/>
    <mergeCell ref="A14:G14"/>
    <mergeCell ref="A15:G15"/>
    <mergeCell ref="A16:G16"/>
    <mergeCell ref="A17:G17"/>
  </mergeCells>
  <pageMargins left="0.7" right="0.7" top="0.75" bottom="0.75" header="0.3" footer="0.3"/>
  <pageSetup paperSize="9" orientation="portrait" horizontalDpi="300" verticalDpi="300"/>
  <headerFooter scaleWithDoc="0" alignWithMargins="0">
    <oddHeader>&amp;L&amp;CResults of variance component analyses using all models on the GS20K&amp;R</oddHeader>
  </headerFooter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A12" sqref="A12:G15"/>
    </sheetView>
  </sheetViews>
  <sheetFormatPr defaultColWidth="8.85546875" defaultRowHeight="15" x14ac:dyDescent="0.25"/>
  <cols>
    <col min="1" max="1" width="25.7109375" customWidth="1"/>
    <col min="2" max="2" width="10.7109375" customWidth="1"/>
    <col min="3" max="3" width="6.7109375" customWidth="1"/>
    <col min="4" max="4" width="10.7109375" customWidth="1"/>
    <col min="5" max="5" width="6.7109375" customWidth="1"/>
    <col min="6" max="6" width="13.7109375" customWidth="1"/>
    <col min="7" max="7" width="7.7109375" customWidth="1"/>
    <col min="8" max="8" width="11.7109375" customWidth="1"/>
    <col min="9" max="9" width="6.7109375" customWidth="1"/>
    <col min="10" max="11" width="11.7109375" customWidth="1"/>
    <col min="12" max="13" width="8.7109375" customWidth="1"/>
    <col min="14" max="98" width="9.140625" customWidth="1"/>
  </cols>
  <sheetData>
    <row r="1" spans="1:13" x14ac:dyDescent="0.25">
      <c r="A1" t="s">
        <v>0</v>
      </c>
      <c r="B1" t="s">
        <v>339</v>
      </c>
      <c r="C1" t="s">
        <v>340</v>
      </c>
      <c r="D1" t="s">
        <v>347</v>
      </c>
      <c r="E1" t="s">
        <v>348</v>
      </c>
      <c r="F1" t="s">
        <v>349</v>
      </c>
      <c r="G1" t="s">
        <v>350</v>
      </c>
      <c r="H1" t="s">
        <v>351</v>
      </c>
      <c r="I1" t="s">
        <v>352</v>
      </c>
      <c r="J1" t="s">
        <v>353</v>
      </c>
      <c r="K1" t="s">
        <v>357</v>
      </c>
      <c r="L1" t="s">
        <v>1</v>
      </c>
      <c r="M1" t="s">
        <v>2</v>
      </c>
    </row>
    <row r="2" spans="1:13" x14ac:dyDescent="0.25">
      <c r="A2" t="s">
        <v>3</v>
      </c>
      <c r="B2" t="s">
        <v>66</v>
      </c>
      <c r="C2" t="s">
        <v>5</v>
      </c>
      <c r="D2" t="s">
        <v>4</v>
      </c>
      <c r="E2" t="s">
        <v>5</v>
      </c>
      <c r="F2" t="s">
        <v>37</v>
      </c>
      <c r="G2" t="s">
        <v>5</v>
      </c>
      <c r="H2" t="s">
        <v>22</v>
      </c>
      <c r="I2" t="s">
        <v>10</v>
      </c>
      <c r="J2">
        <f>(Table12[[#This Row],[G Variance]])*100</f>
        <v>47</v>
      </c>
      <c r="K2">
        <f>(Table12[[#This Row],[C Variance]])*100</f>
        <v>21</v>
      </c>
      <c r="L2" t="s">
        <v>175</v>
      </c>
      <c r="M2" t="s">
        <v>16</v>
      </c>
    </row>
    <row r="3" spans="1:13" x14ac:dyDescent="0.25">
      <c r="A3" t="s">
        <v>17</v>
      </c>
      <c r="B3" t="s">
        <v>63</v>
      </c>
      <c r="C3" t="s">
        <v>5</v>
      </c>
      <c r="D3" t="s">
        <v>30</v>
      </c>
      <c r="E3" t="s">
        <v>5</v>
      </c>
      <c r="F3" t="s">
        <v>29</v>
      </c>
      <c r="G3" t="s">
        <v>5</v>
      </c>
      <c r="H3" t="s">
        <v>14</v>
      </c>
      <c r="I3" t="s">
        <v>10</v>
      </c>
      <c r="J3">
        <f>(Table12[[#This Row],[G Variance]])*100</f>
        <v>38</v>
      </c>
      <c r="K3">
        <f>(Table12[[#This Row],[C Variance]])*100</f>
        <v>31</v>
      </c>
      <c r="L3" t="s">
        <v>176</v>
      </c>
      <c r="M3" t="s">
        <v>25</v>
      </c>
    </row>
    <row r="4" spans="1:13" x14ac:dyDescent="0.25">
      <c r="A4" t="s">
        <v>26</v>
      </c>
      <c r="B4" t="s">
        <v>89</v>
      </c>
      <c r="C4" t="s">
        <v>5</v>
      </c>
      <c r="D4" t="s">
        <v>11</v>
      </c>
      <c r="E4" t="s">
        <v>5</v>
      </c>
      <c r="F4" t="s">
        <v>177</v>
      </c>
      <c r="G4" t="s">
        <v>5</v>
      </c>
      <c r="H4" t="s">
        <v>14</v>
      </c>
      <c r="I4" t="s">
        <v>10</v>
      </c>
      <c r="J4">
        <f>(Table12[[#This Row],[G Variance]])*100</f>
        <v>48</v>
      </c>
      <c r="K4">
        <f>(Table12[[#This Row],[C Variance]])*100</f>
        <v>26</v>
      </c>
      <c r="L4" t="s">
        <v>178</v>
      </c>
      <c r="M4" t="s">
        <v>32</v>
      </c>
    </row>
    <row r="5" spans="1:13" x14ac:dyDescent="0.25">
      <c r="A5" t="s">
        <v>33</v>
      </c>
      <c r="B5" t="s">
        <v>128</v>
      </c>
      <c r="C5" t="s">
        <v>5</v>
      </c>
      <c r="D5" t="s">
        <v>148</v>
      </c>
      <c r="E5" t="s">
        <v>5</v>
      </c>
      <c r="F5" t="s">
        <v>146</v>
      </c>
      <c r="G5" t="s">
        <v>12</v>
      </c>
      <c r="H5" t="s">
        <v>22</v>
      </c>
      <c r="I5" t="s">
        <v>10</v>
      </c>
      <c r="J5">
        <f>(Table12[[#This Row],[G Variance]])*100</f>
        <v>35</v>
      </c>
      <c r="K5">
        <f>(Table12[[#This Row],[C Variance]])*100</f>
        <v>12</v>
      </c>
      <c r="L5" t="s">
        <v>179</v>
      </c>
      <c r="M5" t="s">
        <v>39</v>
      </c>
    </row>
    <row r="6" spans="1:13" x14ac:dyDescent="0.25">
      <c r="A6" t="s">
        <v>40</v>
      </c>
      <c r="B6" t="s">
        <v>63</v>
      </c>
      <c r="C6" t="s">
        <v>5</v>
      </c>
      <c r="D6" t="s">
        <v>18</v>
      </c>
      <c r="E6" t="s">
        <v>5</v>
      </c>
      <c r="F6" t="s">
        <v>82</v>
      </c>
      <c r="G6" t="s">
        <v>12</v>
      </c>
      <c r="H6" t="s">
        <v>22</v>
      </c>
      <c r="I6" t="s">
        <v>10</v>
      </c>
      <c r="J6">
        <f>(Table12[[#This Row],[G Variance]])*100</f>
        <v>38</v>
      </c>
      <c r="K6">
        <f>(Table12[[#This Row],[C Variance]])*100</f>
        <v>13</v>
      </c>
      <c r="L6" t="s">
        <v>180</v>
      </c>
      <c r="M6" t="s">
        <v>45</v>
      </c>
    </row>
    <row r="7" spans="1:13" x14ac:dyDescent="0.25">
      <c r="A7" t="s">
        <v>46</v>
      </c>
      <c r="B7" t="s">
        <v>96</v>
      </c>
      <c r="C7" t="s">
        <v>10</v>
      </c>
      <c r="D7" t="s">
        <v>136</v>
      </c>
      <c r="E7" t="s">
        <v>5</v>
      </c>
      <c r="F7" t="s">
        <v>181</v>
      </c>
      <c r="G7" t="s">
        <v>12</v>
      </c>
      <c r="H7" t="s">
        <v>22</v>
      </c>
      <c r="I7" t="s">
        <v>10</v>
      </c>
      <c r="J7">
        <f>(Table12[[#This Row],[G Variance]])*100</f>
        <v>28.000000000000004</v>
      </c>
      <c r="K7">
        <f>(Table12[[#This Row],[C Variance]])*100</f>
        <v>3</v>
      </c>
      <c r="L7" t="s">
        <v>182</v>
      </c>
      <c r="M7" t="s">
        <v>50</v>
      </c>
    </row>
    <row r="8" spans="1:13" x14ac:dyDescent="0.25">
      <c r="A8" t="s">
        <v>51</v>
      </c>
      <c r="B8" t="s">
        <v>27</v>
      </c>
      <c r="C8" t="s">
        <v>10</v>
      </c>
      <c r="D8" t="s">
        <v>183</v>
      </c>
      <c r="E8" t="s">
        <v>5</v>
      </c>
      <c r="F8" t="s">
        <v>58</v>
      </c>
      <c r="G8" t="s">
        <v>12</v>
      </c>
      <c r="H8" t="s">
        <v>22</v>
      </c>
      <c r="I8" t="s">
        <v>10</v>
      </c>
      <c r="J8">
        <f>(Table12[[#This Row],[G Variance]])*100</f>
        <v>23</v>
      </c>
      <c r="K8">
        <f>(Table12[[#This Row],[C Variance]])*100</f>
        <v>1</v>
      </c>
      <c r="L8" t="s">
        <v>184</v>
      </c>
      <c r="M8" t="s">
        <v>55</v>
      </c>
    </row>
    <row r="9" spans="1:13" x14ac:dyDescent="0.25">
      <c r="A9" t="s">
        <v>56</v>
      </c>
      <c r="B9" t="s">
        <v>27</v>
      </c>
      <c r="C9" t="s">
        <v>10</v>
      </c>
      <c r="D9" t="s">
        <v>28</v>
      </c>
      <c r="E9" t="s">
        <v>5</v>
      </c>
      <c r="F9" t="s">
        <v>97</v>
      </c>
      <c r="G9" t="s">
        <v>12</v>
      </c>
      <c r="H9" t="s">
        <v>22</v>
      </c>
      <c r="I9" t="s">
        <v>10</v>
      </c>
      <c r="J9">
        <f>(Table12[[#This Row],[G Variance]])*100</f>
        <v>23</v>
      </c>
      <c r="K9">
        <f>(Table12[[#This Row],[C Variance]])*100</f>
        <v>6</v>
      </c>
      <c r="L9" t="s">
        <v>185</v>
      </c>
      <c r="M9" t="s">
        <v>60</v>
      </c>
    </row>
    <row r="12" spans="1:13" ht="15" customHeight="1" x14ac:dyDescent="0.25">
      <c r="A12" s="9" t="s">
        <v>360</v>
      </c>
      <c r="B12" s="9"/>
      <c r="C12" s="9"/>
      <c r="D12" s="9"/>
      <c r="E12" s="9"/>
      <c r="F12" s="9"/>
      <c r="G12" s="9"/>
    </row>
    <row r="13" spans="1:13" ht="15" customHeight="1" x14ac:dyDescent="0.25">
      <c r="A13" s="9" t="s">
        <v>364</v>
      </c>
      <c r="B13" s="9"/>
      <c r="C13" s="9"/>
      <c r="D13" s="9"/>
      <c r="E13" s="9"/>
      <c r="F13" s="9"/>
      <c r="G13" s="9"/>
    </row>
    <row r="14" spans="1:13" x14ac:dyDescent="0.25">
      <c r="A14" s="9" t="s">
        <v>359</v>
      </c>
      <c r="B14" s="9"/>
      <c r="C14" s="9"/>
      <c r="D14" s="9"/>
      <c r="E14" s="9"/>
      <c r="F14" s="9"/>
      <c r="G14" s="9"/>
    </row>
    <row r="15" spans="1:13" x14ac:dyDescent="0.25">
      <c r="A15" s="9" t="s">
        <v>358</v>
      </c>
      <c r="B15" s="9"/>
      <c r="C15" s="9"/>
      <c r="D15" s="9"/>
      <c r="E15" s="9"/>
      <c r="F15" s="9"/>
      <c r="G15" s="9"/>
    </row>
  </sheetData>
  <mergeCells count="4">
    <mergeCell ref="A15:G15"/>
    <mergeCell ref="A12:G12"/>
    <mergeCell ref="A13:G13"/>
    <mergeCell ref="A14:G14"/>
  </mergeCells>
  <pageMargins left="0.7" right="0.7" top="0.75" bottom="0.75" header="0.3" footer="0.3"/>
  <pageSetup paperSize="9" orientation="portrait" horizontalDpi="300" verticalDpi="300"/>
  <headerFooter scaleWithDoc="0" alignWithMargins="0">
    <oddHeader>&amp;L&amp;CResults of variance component analyses using all models on the GS20K&amp;R</oddHeader>
  </headerFooter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H18" sqref="H18"/>
    </sheetView>
  </sheetViews>
  <sheetFormatPr defaultColWidth="8.85546875" defaultRowHeight="15" x14ac:dyDescent="0.25"/>
  <cols>
    <col min="1" max="1" width="25.7109375" customWidth="1"/>
    <col min="2" max="2" width="10.7109375" customWidth="1"/>
    <col min="3" max="3" width="6.7109375" customWidth="1"/>
    <col min="4" max="4" width="10.7109375" customWidth="1"/>
    <col min="5" max="5" width="6.7109375" customWidth="1"/>
    <col min="6" max="6" width="13.7109375" customWidth="1"/>
    <col min="7" max="7" width="7.7109375" customWidth="1"/>
    <col min="8" max="8" width="11.7109375" customWidth="1"/>
    <col min="9" max="9" width="6.7109375" customWidth="1"/>
    <col min="10" max="11" width="11.7109375" customWidth="1"/>
    <col min="12" max="13" width="8.7109375" customWidth="1"/>
    <col min="14" max="98" width="9.140625" customWidth="1"/>
  </cols>
  <sheetData>
    <row r="1" spans="1:13" x14ac:dyDescent="0.25">
      <c r="A1" t="s">
        <v>0</v>
      </c>
      <c r="B1" t="s">
        <v>341</v>
      </c>
      <c r="C1" t="s">
        <v>342</v>
      </c>
      <c r="D1" t="s">
        <v>343</v>
      </c>
      <c r="E1" t="s">
        <v>344</v>
      </c>
      <c r="F1" t="s">
        <v>349</v>
      </c>
      <c r="G1" t="s">
        <v>350</v>
      </c>
      <c r="H1" t="s">
        <v>351</v>
      </c>
      <c r="I1" t="s">
        <v>352</v>
      </c>
      <c r="J1" t="s">
        <v>354</v>
      </c>
      <c r="K1" t="s">
        <v>355</v>
      </c>
      <c r="L1" t="s">
        <v>1</v>
      </c>
      <c r="M1" t="s">
        <v>2</v>
      </c>
    </row>
    <row r="2" spans="1:13" x14ac:dyDescent="0.25">
      <c r="A2" t="s">
        <v>3</v>
      </c>
      <c r="B2" t="s">
        <v>37</v>
      </c>
      <c r="C2" t="s">
        <v>12</v>
      </c>
      <c r="D2" t="s">
        <v>107</v>
      </c>
      <c r="E2" t="s">
        <v>5</v>
      </c>
      <c r="F2" t="s">
        <v>146</v>
      </c>
      <c r="G2" t="s">
        <v>5</v>
      </c>
      <c r="H2" t="s">
        <v>22</v>
      </c>
      <c r="I2" t="s">
        <v>10</v>
      </c>
      <c r="J2">
        <f>(Table13[[#This Row],[K Variance]])*100</f>
        <v>32</v>
      </c>
      <c r="K2">
        <f>(Table13[[#This Row],[F Variance]])*100</f>
        <v>14.000000000000002</v>
      </c>
      <c r="L2" t="s">
        <v>187</v>
      </c>
      <c r="M2" t="s">
        <v>16</v>
      </c>
    </row>
    <row r="3" spans="1:13" x14ac:dyDescent="0.25">
      <c r="A3" t="s">
        <v>17</v>
      </c>
      <c r="B3" t="s">
        <v>148</v>
      </c>
      <c r="C3" t="s">
        <v>12</v>
      </c>
      <c r="D3" t="s">
        <v>120</v>
      </c>
      <c r="E3" t="s">
        <v>5</v>
      </c>
      <c r="F3" t="s">
        <v>70</v>
      </c>
      <c r="G3" t="s">
        <v>5</v>
      </c>
      <c r="H3" t="s">
        <v>22</v>
      </c>
      <c r="I3" t="s">
        <v>10</v>
      </c>
      <c r="J3">
        <f>(Table13[[#This Row],[K Variance]])*100</f>
        <v>12</v>
      </c>
      <c r="K3">
        <f>(Table13[[#This Row],[F Variance]])*100</f>
        <v>22</v>
      </c>
      <c r="L3" t="s">
        <v>188</v>
      </c>
      <c r="M3" t="s">
        <v>25</v>
      </c>
    </row>
    <row r="4" spans="1:13" x14ac:dyDescent="0.25">
      <c r="A4" t="s">
        <v>26</v>
      </c>
      <c r="B4" t="s">
        <v>96</v>
      </c>
      <c r="C4" t="s">
        <v>12</v>
      </c>
      <c r="D4" t="s">
        <v>36</v>
      </c>
      <c r="E4" t="s">
        <v>5</v>
      </c>
      <c r="F4" t="s">
        <v>48</v>
      </c>
      <c r="G4" t="s">
        <v>5</v>
      </c>
      <c r="H4" t="s">
        <v>14</v>
      </c>
      <c r="I4" t="s">
        <v>10</v>
      </c>
      <c r="J4">
        <f>(Table13[[#This Row],[K Variance]])*100</f>
        <v>28.000000000000004</v>
      </c>
      <c r="K4">
        <f>(Table13[[#This Row],[F Variance]])*100</f>
        <v>17</v>
      </c>
      <c r="L4" t="s">
        <v>189</v>
      </c>
      <c r="M4" t="s">
        <v>32</v>
      </c>
    </row>
    <row r="5" spans="1:13" x14ac:dyDescent="0.25">
      <c r="A5" t="s">
        <v>33</v>
      </c>
      <c r="B5" t="s">
        <v>96</v>
      </c>
      <c r="C5" t="s">
        <v>12</v>
      </c>
      <c r="D5" t="s">
        <v>57</v>
      </c>
      <c r="E5" t="s">
        <v>5</v>
      </c>
      <c r="F5" t="s">
        <v>91</v>
      </c>
      <c r="G5" t="s">
        <v>5</v>
      </c>
      <c r="H5" t="s">
        <v>22</v>
      </c>
      <c r="I5" t="s">
        <v>10</v>
      </c>
      <c r="J5">
        <f>(Table13[[#This Row],[K Variance]])*100</f>
        <v>28.000000000000004</v>
      </c>
      <c r="K5">
        <f>(Table13[[#This Row],[F Variance]])*100</f>
        <v>7.0000000000000009</v>
      </c>
      <c r="L5" t="s">
        <v>190</v>
      </c>
      <c r="M5" t="s">
        <v>39</v>
      </c>
    </row>
    <row r="6" spans="1:13" x14ac:dyDescent="0.25">
      <c r="A6" t="s">
        <v>40</v>
      </c>
      <c r="B6" t="s">
        <v>30</v>
      </c>
      <c r="C6" t="s">
        <v>12</v>
      </c>
      <c r="D6" t="s">
        <v>9</v>
      </c>
      <c r="E6" t="s">
        <v>5</v>
      </c>
      <c r="F6" t="s">
        <v>126</v>
      </c>
      <c r="G6" t="s">
        <v>5</v>
      </c>
      <c r="H6" t="s">
        <v>22</v>
      </c>
      <c r="I6" t="s">
        <v>10</v>
      </c>
      <c r="J6">
        <f>(Table13[[#This Row],[K Variance]])*100</f>
        <v>31</v>
      </c>
      <c r="K6">
        <f>(Table13[[#This Row],[F Variance]])*100</f>
        <v>9</v>
      </c>
      <c r="L6" t="s">
        <v>191</v>
      </c>
      <c r="M6" t="s">
        <v>45</v>
      </c>
    </row>
    <row r="7" spans="1:13" x14ac:dyDescent="0.25">
      <c r="A7" t="s">
        <v>46</v>
      </c>
      <c r="B7" t="s">
        <v>30</v>
      </c>
      <c r="C7" t="s">
        <v>12</v>
      </c>
      <c r="D7" t="s">
        <v>136</v>
      </c>
      <c r="E7" t="s">
        <v>5</v>
      </c>
      <c r="F7" t="s">
        <v>70</v>
      </c>
      <c r="G7" t="s">
        <v>5</v>
      </c>
      <c r="H7" t="s">
        <v>22</v>
      </c>
      <c r="I7" t="s">
        <v>10</v>
      </c>
      <c r="J7">
        <f>(Table13[[#This Row],[K Variance]])*100</f>
        <v>31</v>
      </c>
      <c r="K7">
        <f>(Table13[[#This Row],[F Variance]])*100</f>
        <v>3</v>
      </c>
      <c r="L7" t="s">
        <v>192</v>
      </c>
      <c r="M7" t="s">
        <v>50</v>
      </c>
    </row>
    <row r="8" spans="1:13" x14ac:dyDescent="0.25">
      <c r="A8" t="s">
        <v>51</v>
      </c>
      <c r="B8" t="s">
        <v>11</v>
      </c>
      <c r="C8" t="s">
        <v>193</v>
      </c>
      <c r="D8" t="s">
        <v>13</v>
      </c>
      <c r="E8" t="s">
        <v>5</v>
      </c>
      <c r="F8" t="s">
        <v>97</v>
      </c>
      <c r="G8" t="s">
        <v>5</v>
      </c>
      <c r="H8" t="s">
        <v>22</v>
      </c>
      <c r="I8" t="s">
        <v>10</v>
      </c>
      <c r="J8">
        <f>(Table13[[#This Row],[K Variance]])*100</f>
        <v>26</v>
      </c>
      <c r="K8">
        <f>(Table13[[#This Row],[F Variance]])*100</f>
        <v>2</v>
      </c>
      <c r="L8" t="s">
        <v>194</v>
      </c>
      <c r="M8" t="s">
        <v>55</v>
      </c>
    </row>
    <row r="9" spans="1:13" x14ac:dyDescent="0.25">
      <c r="A9" t="s">
        <v>56</v>
      </c>
      <c r="B9" t="s">
        <v>36</v>
      </c>
      <c r="C9" t="s">
        <v>12</v>
      </c>
      <c r="D9" t="s">
        <v>57</v>
      </c>
      <c r="E9" t="s">
        <v>5</v>
      </c>
      <c r="F9" t="s">
        <v>58</v>
      </c>
      <c r="G9" t="s">
        <v>5</v>
      </c>
      <c r="H9" t="s">
        <v>22</v>
      </c>
      <c r="I9" t="s">
        <v>10</v>
      </c>
      <c r="J9">
        <f>(Table13[[#This Row],[K Variance]])*100</f>
        <v>17</v>
      </c>
      <c r="K9">
        <f>(Table13[[#This Row],[F Variance]])*100</f>
        <v>7.0000000000000009</v>
      </c>
      <c r="L9" t="s">
        <v>195</v>
      </c>
      <c r="M9" t="s">
        <v>60</v>
      </c>
    </row>
    <row r="12" spans="1:13" ht="15" customHeight="1" x14ac:dyDescent="0.25">
      <c r="A12" s="9" t="s">
        <v>361</v>
      </c>
      <c r="B12" s="9"/>
      <c r="C12" s="9"/>
      <c r="D12" s="9"/>
      <c r="E12" s="9"/>
      <c r="F12" s="9"/>
      <c r="G12" s="9"/>
    </row>
    <row r="13" spans="1:13" ht="15" customHeight="1" x14ac:dyDescent="0.25">
      <c r="A13" s="9" t="s">
        <v>362</v>
      </c>
      <c r="B13" s="9"/>
      <c r="C13" s="9"/>
      <c r="D13" s="9"/>
      <c r="E13" s="9"/>
      <c r="F13" s="9"/>
      <c r="G13" s="9"/>
    </row>
    <row r="14" spans="1:13" x14ac:dyDescent="0.25">
      <c r="A14" s="9" t="s">
        <v>359</v>
      </c>
      <c r="B14" s="9"/>
      <c r="C14" s="9"/>
      <c r="D14" s="9"/>
      <c r="E14" s="9"/>
      <c r="F14" s="9"/>
      <c r="G14" s="9"/>
    </row>
    <row r="15" spans="1:13" x14ac:dyDescent="0.25">
      <c r="A15" s="9" t="s">
        <v>358</v>
      </c>
      <c r="B15" s="9"/>
      <c r="C15" s="9"/>
      <c r="D15" s="9"/>
      <c r="E15" s="9"/>
      <c r="F15" s="9"/>
      <c r="G15" s="9"/>
    </row>
  </sheetData>
  <mergeCells count="4">
    <mergeCell ref="A12:G12"/>
    <mergeCell ref="A13:G13"/>
    <mergeCell ref="A14:G14"/>
    <mergeCell ref="A15:G15"/>
  </mergeCells>
  <pageMargins left="0.7" right="0.7" top="0.75" bottom="0.75" header="0.3" footer="0.3"/>
  <pageSetup paperSize="9" orientation="portrait" horizontalDpi="300" verticalDpi="300"/>
  <headerFooter scaleWithDoc="0" alignWithMargins="0">
    <oddHeader>&amp;L&amp;CResults of variance component analyses using all models on the GS20K&amp;R</oddHeader>
  </headerFooter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A12" sqref="A12:G15"/>
    </sheetView>
  </sheetViews>
  <sheetFormatPr defaultColWidth="8.85546875" defaultRowHeight="15" x14ac:dyDescent="0.25"/>
  <cols>
    <col min="1" max="1" width="25.7109375" customWidth="1"/>
    <col min="2" max="2" width="10.7109375" customWidth="1"/>
    <col min="3" max="3" width="6.7109375" customWidth="1"/>
    <col min="4" max="4" width="10.7109375" customWidth="1"/>
    <col min="5" max="5" width="6.7109375" customWidth="1"/>
    <col min="6" max="6" width="13.7109375" customWidth="1"/>
    <col min="7" max="7" width="7.7109375" customWidth="1"/>
    <col min="8" max="8" width="11.7109375" customWidth="1"/>
    <col min="9" max="9" width="6.7109375" customWidth="1"/>
    <col min="10" max="11" width="11.7109375" customWidth="1"/>
    <col min="12" max="13" width="8.7109375" customWidth="1"/>
    <col min="14" max="98" width="9.140625" customWidth="1"/>
  </cols>
  <sheetData>
    <row r="1" spans="1:13" x14ac:dyDescent="0.25">
      <c r="A1" t="s">
        <v>0</v>
      </c>
      <c r="B1" t="s">
        <v>341</v>
      </c>
      <c r="C1" t="s">
        <v>342</v>
      </c>
      <c r="D1" t="s">
        <v>345</v>
      </c>
      <c r="E1" t="s">
        <v>346</v>
      </c>
      <c r="F1" t="s">
        <v>349</v>
      </c>
      <c r="G1" t="s">
        <v>350</v>
      </c>
      <c r="H1" t="s">
        <v>351</v>
      </c>
      <c r="I1" t="s">
        <v>352</v>
      </c>
      <c r="J1" t="s">
        <v>354</v>
      </c>
      <c r="K1" t="s">
        <v>356</v>
      </c>
      <c r="L1" t="s">
        <v>1</v>
      </c>
      <c r="M1" t="s">
        <v>2</v>
      </c>
    </row>
    <row r="2" spans="1:13" x14ac:dyDescent="0.25">
      <c r="A2" t="s">
        <v>3</v>
      </c>
      <c r="B2" t="s">
        <v>196</v>
      </c>
      <c r="C2" t="s">
        <v>5</v>
      </c>
      <c r="D2" t="s">
        <v>148</v>
      </c>
      <c r="E2" t="s">
        <v>10</v>
      </c>
      <c r="F2" t="s">
        <v>63</v>
      </c>
      <c r="G2" t="s">
        <v>10</v>
      </c>
      <c r="H2" t="s">
        <v>22</v>
      </c>
      <c r="I2" t="s">
        <v>10</v>
      </c>
      <c r="J2">
        <f>(Table14[[#This Row],[K Variance]])*100</f>
        <v>50</v>
      </c>
      <c r="K2">
        <f>(Table14[[#This Row],[S Variance]])*100</f>
        <v>12</v>
      </c>
      <c r="L2" t="s">
        <v>197</v>
      </c>
      <c r="M2" t="s">
        <v>16</v>
      </c>
    </row>
    <row r="3" spans="1:13" x14ac:dyDescent="0.25">
      <c r="A3" t="s">
        <v>17</v>
      </c>
      <c r="B3" t="s">
        <v>23</v>
      </c>
      <c r="C3" t="s">
        <v>5</v>
      </c>
      <c r="D3" t="s">
        <v>43</v>
      </c>
      <c r="E3" t="s">
        <v>10</v>
      </c>
      <c r="F3" t="s">
        <v>198</v>
      </c>
      <c r="G3" t="s">
        <v>5</v>
      </c>
      <c r="H3" t="s">
        <v>22</v>
      </c>
      <c r="I3" t="s">
        <v>10</v>
      </c>
      <c r="J3">
        <f>(Table14[[#This Row],[K Variance]])*100</f>
        <v>39</v>
      </c>
      <c r="K3">
        <f>(Table14[[#This Row],[S Variance]])*100</f>
        <v>16</v>
      </c>
      <c r="L3" t="s">
        <v>199</v>
      </c>
      <c r="M3" t="s">
        <v>25</v>
      </c>
    </row>
    <row r="4" spans="1:13" x14ac:dyDescent="0.25">
      <c r="A4" t="s">
        <v>26</v>
      </c>
      <c r="B4" t="s">
        <v>196</v>
      </c>
      <c r="C4" t="s">
        <v>5</v>
      </c>
      <c r="D4" t="s">
        <v>148</v>
      </c>
      <c r="E4" t="s">
        <v>10</v>
      </c>
      <c r="F4" t="s">
        <v>114</v>
      </c>
      <c r="G4" t="s">
        <v>10</v>
      </c>
      <c r="H4" t="s">
        <v>22</v>
      </c>
      <c r="I4" t="s">
        <v>10</v>
      </c>
      <c r="J4">
        <f>(Table14[[#This Row],[K Variance]])*100</f>
        <v>50</v>
      </c>
      <c r="K4">
        <f>(Table14[[#This Row],[S Variance]])*100</f>
        <v>12</v>
      </c>
      <c r="L4" t="s">
        <v>200</v>
      </c>
      <c r="M4" t="s">
        <v>32</v>
      </c>
    </row>
    <row r="5" spans="1:13" x14ac:dyDescent="0.25">
      <c r="A5" t="s">
        <v>33</v>
      </c>
      <c r="B5" t="s">
        <v>69</v>
      </c>
      <c r="C5" t="s">
        <v>5</v>
      </c>
      <c r="D5" t="s">
        <v>9</v>
      </c>
      <c r="E5" t="s">
        <v>10</v>
      </c>
      <c r="F5" t="s">
        <v>79</v>
      </c>
      <c r="G5" t="s">
        <v>5</v>
      </c>
      <c r="H5" t="s">
        <v>22</v>
      </c>
      <c r="I5" t="s">
        <v>10</v>
      </c>
      <c r="J5">
        <f>(Table14[[#This Row],[K Variance]])*100</f>
        <v>34</v>
      </c>
      <c r="K5">
        <f>(Table14[[#This Row],[S Variance]])*100</f>
        <v>9</v>
      </c>
      <c r="L5" t="s">
        <v>201</v>
      </c>
      <c r="M5" t="s">
        <v>39</v>
      </c>
    </row>
    <row r="6" spans="1:13" x14ac:dyDescent="0.25">
      <c r="A6" t="s">
        <v>40</v>
      </c>
      <c r="B6" t="s">
        <v>80</v>
      </c>
      <c r="C6" t="s">
        <v>5</v>
      </c>
      <c r="D6" t="s">
        <v>28</v>
      </c>
      <c r="E6" t="s">
        <v>10</v>
      </c>
      <c r="F6" t="s">
        <v>83</v>
      </c>
      <c r="G6" t="s">
        <v>5</v>
      </c>
      <c r="H6" t="s">
        <v>22</v>
      </c>
      <c r="I6" t="s">
        <v>10</v>
      </c>
      <c r="J6">
        <f>(Table14[[#This Row],[K Variance]])*100</f>
        <v>43</v>
      </c>
      <c r="K6">
        <f>(Table14[[#This Row],[S Variance]])*100</f>
        <v>6</v>
      </c>
      <c r="L6" t="s">
        <v>202</v>
      </c>
      <c r="M6" t="s">
        <v>45</v>
      </c>
    </row>
    <row r="7" spans="1:13" x14ac:dyDescent="0.25">
      <c r="A7" t="s">
        <v>46</v>
      </c>
      <c r="B7" t="s">
        <v>37</v>
      </c>
      <c r="C7" t="s">
        <v>5</v>
      </c>
      <c r="D7" t="s">
        <v>42</v>
      </c>
      <c r="E7" t="s">
        <v>10</v>
      </c>
      <c r="F7" t="s">
        <v>64</v>
      </c>
      <c r="G7" t="s">
        <v>5</v>
      </c>
      <c r="H7" t="s">
        <v>22</v>
      </c>
      <c r="I7" t="s">
        <v>10</v>
      </c>
      <c r="J7">
        <f>(Table14[[#This Row],[K Variance]])*100</f>
        <v>32</v>
      </c>
      <c r="K7">
        <f>(Table14[[#This Row],[S Variance]])*100</f>
        <v>5</v>
      </c>
      <c r="L7" t="s">
        <v>203</v>
      </c>
      <c r="M7" t="s">
        <v>50</v>
      </c>
    </row>
    <row r="8" spans="1:13" x14ac:dyDescent="0.25">
      <c r="A8" t="s">
        <v>51</v>
      </c>
      <c r="B8" t="s">
        <v>29</v>
      </c>
      <c r="C8" t="s">
        <v>5</v>
      </c>
      <c r="D8" t="s">
        <v>8</v>
      </c>
      <c r="E8" t="s">
        <v>10</v>
      </c>
      <c r="F8" t="s">
        <v>93</v>
      </c>
      <c r="G8" t="s">
        <v>5</v>
      </c>
      <c r="H8" t="s">
        <v>22</v>
      </c>
      <c r="I8" t="s">
        <v>10</v>
      </c>
      <c r="J8">
        <f>(Table14[[#This Row],[K Variance]])*100</f>
        <v>30</v>
      </c>
      <c r="K8">
        <f>(Table14[[#This Row],[S Variance]])*100</f>
        <v>0</v>
      </c>
      <c r="L8" t="s">
        <v>94</v>
      </c>
      <c r="M8" t="s">
        <v>55</v>
      </c>
    </row>
    <row r="9" spans="1:13" x14ac:dyDescent="0.25">
      <c r="A9" t="s">
        <v>56</v>
      </c>
      <c r="B9" t="s">
        <v>100</v>
      </c>
      <c r="C9" t="s">
        <v>5</v>
      </c>
      <c r="D9" t="s">
        <v>183</v>
      </c>
      <c r="E9" t="s">
        <v>10</v>
      </c>
      <c r="F9" t="s">
        <v>93</v>
      </c>
      <c r="G9" t="s">
        <v>5</v>
      </c>
      <c r="H9" t="s">
        <v>22</v>
      </c>
      <c r="I9" t="s">
        <v>10</v>
      </c>
      <c r="J9">
        <f>(Table14[[#This Row],[K Variance]])*100</f>
        <v>28.999999999999996</v>
      </c>
      <c r="K9">
        <f>(Table14[[#This Row],[S Variance]])*100</f>
        <v>1</v>
      </c>
      <c r="L9" t="s">
        <v>204</v>
      </c>
      <c r="M9" t="s">
        <v>60</v>
      </c>
    </row>
    <row r="12" spans="1:13" ht="15" customHeight="1" x14ac:dyDescent="0.25">
      <c r="A12" s="9" t="s">
        <v>361</v>
      </c>
      <c r="B12" s="9"/>
      <c r="C12" s="9"/>
      <c r="D12" s="9"/>
      <c r="E12" s="9"/>
      <c r="F12" s="9"/>
      <c r="G12" s="9"/>
    </row>
    <row r="13" spans="1:13" ht="15" customHeight="1" x14ac:dyDescent="0.25">
      <c r="A13" s="9" t="s">
        <v>363</v>
      </c>
      <c r="B13" s="9"/>
      <c r="C13" s="9"/>
      <c r="D13" s="9"/>
      <c r="E13" s="9"/>
      <c r="F13" s="9"/>
      <c r="G13" s="9"/>
    </row>
    <row r="14" spans="1:13" x14ac:dyDescent="0.25">
      <c r="A14" s="9" t="s">
        <v>359</v>
      </c>
      <c r="B14" s="9"/>
      <c r="C14" s="9"/>
      <c r="D14" s="9"/>
      <c r="E14" s="9"/>
      <c r="F14" s="9"/>
      <c r="G14" s="9"/>
    </row>
    <row r="15" spans="1:13" x14ac:dyDescent="0.25">
      <c r="A15" s="9" t="s">
        <v>358</v>
      </c>
      <c r="B15" s="9"/>
      <c r="C15" s="9"/>
      <c r="D15" s="9"/>
      <c r="E15" s="9"/>
      <c r="F15" s="9"/>
      <c r="G15" s="9"/>
    </row>
  </sheetData>
  <mergeCells count="4">
    <mergeCell ref="A12:G12"/>
    <mergeCell ref="A13:G13"/>
    <mergeCell ref="A14:G14"/>
    <mergeCell ref="A15:G15"/>
  </mergeCells>
  <pageMargins left="0.7" right="0.7" top="0.75" bottom="0.75" header="0.3" footer="0.3"/>
  <pageSetup paperSize="9" orientation="portrait" horizontalDpi="300" verticalDpi="300"/>
  <headerFooter scaleWithDoc="0" alignWithMargins="0">
    <oddHeader>&amp;L&amp;CResults of variance component analyses using all models on the GS20K&amp;R</oddHeader>
  </headerFooter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H17" sqref="H17"/>
    </sheetView>
  </sheetViews>
  <sheetFormatPr defaultColWidth="8.85546875" defaultRowHeight="15" x14ac:dyDescent="0.25"/>
  <cols>
    <col min="1" max="1" width="25.7109375" customWidth="1"/>
    <col min="2" max="2" width="10.7109375" customWidth="1"/>
    <col min="3" max="3" width="6.7109375" customWidth="1"/>
    <col min="4" max="4" width="10.7109375" customWidth="1"/>
    <col min="5" max="5" width="6.7109375" customWidth="1"/>
    <col min="6" max="6" width="13.7109375" customWidth="1"/>
    <col min="7" max="7" width="7.7109375" customWidth="1"/>
    <col min="8" max="8" width="11.7109375" customWidth="1"/>
    <col min="9" max="9" width="6.7109375" customWidth="1"/>
    <col min="10" max="11" width="11.7109375" customWidth="1"/>
    <col min="12" max="13" width="8.7109375" customWidth="1"/>
    <col min="14" max="98" width="9.140625" customWidth="1"/>
  </cols>
  <sheetData>
    <row r="1" spans="1:13" x14ac:dyDescent="0.25">
      <c r="A1" t="s">
        <v>0</v>
      </c>
      <c r="B1" t="s">
        <v>341</v>
      </c>
      <c r="C1" t="s">
        <v>342</v>
      </c>
      <c r="D1" t="s">
        <v>347</v>
      </c>
      <c r="E1" t="s">
        <v>348</v>
      </c>
      <c r="F1" t="s">
        <v>349</v>
      </c>
      <c r="G1" t="s">
        <v>350</v>
      </c>
      <c r="H1" t="s">
        <v>351</v>
      </c>
      <c r="I1" t="s">
        <v>352</v>
      </c>
      <c r="J1" t="s">
        <v>354</v>
      </c>
      <c r="K1" t="s">
        <v>357</v>
      </c>
      <c r="L1" t="s">
        <v>1</v>
      </c>
      <c r="M1" t="s">
        <v>2</v>
      </c>
    </row>
    <row r="2" spans="1:13" x14ac:dyDescent="0.25">
      <c r="A2" t="s">
        <v>3</v>
      </c>
      <c r="B2" t="s">
        <v>64</v>
      </c>
      <c r="C2" t="s">
        <v>5</v>
      </c>
      <c r="D2" t="s">
        <v>11</v>
      </c>
      <c r="E2" t="s">
        <v>5</v>
      </c>
      <c r="F2" t="s">
        <v>20</v>
      </c>
      <c r="G2" t="s">
        <v>12</v>
      </c>
      <c r="H2" t="s">
        <v>22</v>
      </c>
      <c r="I2" t="s">
        <v>10</v>
      </c>
      <c r="J2">
        <f>(Table15[[#This Row],[K Variance]])*100</f>
        <v>62</v>
      </c>
      <c r="K2">
        <f>(Table15[[#This Row],[C Variance]])*100</f>
        <v>26</v>
      </c>
      <c r="L2" t="s">
        <v>205</v>
      </c>
      <c r="M2" t="s">
        <v>16</v>
      </c>
    </row>
    <row r="3" spans="1:13" x14ac:dyDescent="0.25">
      <c r="A3" t="s">
        <v>17</v>
      </c>
      <c r="B3" t="s">
        <v>48</v>
      </c>
      <c r="C3" t="s">
        <v>5</v>
      </c>
      <c r="D3" t="s">
        <v>21</v>
      </c>
      <c r="E3" t="s">
        <v>5</v>
      </c>
      <c r="F3" t="s">
        <v>169</v>
      </c>
      <c r="G3" t="s">
        <v>5</v>
      </c>
      <c r="H3" t="s">
        <v>22</v>
      </c>
      <c r="I3" t="s">
        <v>10</v>
      </c>
      <c r="J3">
        <f>(Table15[[#This Row],[K Variance]])*100</f>
        <v>54</v>
      </c>
      <c r="K3">
        <f>(Table15[[#This Row],[C Variance]])*100</f>
        <v>36</v>
      </c>
      <c r="L3" t="s">
        <v>206</v>
      </c>
      <c r="M3" t="s">
        <v>25</v>
      </c>
    </row>
    <row r="4" spans="1:13" x14ac:dyDescent="0.25">
      <c r="A4" t="s">
        <v>26</v>
      </c>
      <c r="B4" t="s">
        <v>112</v>
      </c>
      <c r="C4" t="s">
        <v>5</v>
      </c>
      <c r="D4" t="s">
        <v>30</v>
      </c>
      <c r="E4" t="s">
        <v>5</v>
      </c>
      <c r="F4" t="s">
        <v>42</v>
      </c>
      <c r="G4" t="s">
        <v>5</v>
      </c>
      <c r="H4" t="s">
        <v>14</v>
      </c>
      <c r="I4" t="s">
        <v>10</v>
      </c>
      <c r="J4">
        <f>(Table15[[#This Row],[K Variance]])*100</f>
        <v>63</v>
      </c>
      <c r="K4">
        <f>(Table15[[#This Row],[C Variance]])*100</f>
        <v>31</v>
      </c>
      <c r="L4" t="s">
        <v>207</v>
      </c>
      <c r="M4" t="s">
        <v>32</v>
      </c>
    </row>
    <row r="5" spans="1:13" x14ac:dyDescent="0.25">
      <c r="A5" t="s">
        <v>33</v>
      </c>
      <c r="B5" t="s">
        <v>80</v>
      </c>
      <c r="C5" t="s">
        <v>5</v>
      </c>
      <c r="D5" t="s">
        <v>36</v>
      </c>
      <c r="E5" t="s">
        <v>5</v>
      </c>
      <c r="F5" t="s">
        <v>19</v>
      </c>
      <c r="G5" t="s">
        <v>12</v>
      </c>
      <c r="H5" t="s">
        <v>22</v>
      </c>
      <c r="I5" t="s">
        <v>10</v>
      </c>
      <c r="J5">
        <f>(Table15[[#This Row],[K Variance]])*100</f>
        <v>43</v>
      </c>
      <c r="K5">
        <f>(Table15[[#This Row],[C Variance]])*100</f>
        <v>17</v>
      </c>
      <c r="L5" t="s">
        <v>208</v>
      </c>
      <c r="M5" t="s">
        <v>39</v>
      </c>
    </row>
    <row r="6" spans="1:13" x14ac:dyDescent="0.25">
      <c r="A6" t="s">
        <v>40</v>
      </c>
      <c r="B6" t="s">
        <v>196</v>
      </c>
      <c r="C6" t="s">
        <v>5</v>
      </c>
      <c r="D6" t="s">
        <v>43</v>
      </c>
      <c r="E6" t="s">
        <v>5</v>
      </c>
      <c r="F6" t="s">
        <v>69</v>
      </c>
      <c r="G6" t="s">
        <v>12</v>
      </c>
      <c r="H6" t="s">
        <v>22</v>
      </c>
      <c r="I6" t="s">
        <v>10</v>
      </c>
      <c r="J6">
        <f>(Table15[[#This Row],[K Variance]])*100</f>
        <v>50</v>
      </c>
      <c r="K6">
        <f>(Table15[[#This Row],[C Variance]])*100</f>
        <v>16</v>
      </c>
      <c r="L6" t="s">
        <v>209</v>
      </c>
      <c r="M6" t="s">
        <v>45</v>
      </c>
    </row>
    <row r="7" spans="1:13" x14ac:dyDescent="0.25">
      <c r="A7" t="s">
        <v>46</v>
      </c>
      <c r="B7" t="s">
        <v>114</v>
      </c>
      <c r="C7" t="s">
        <v>5</v>
      </c>
      <c r="D7" t="s">
        <v>42</v>
      </c>
      <c r="E7" t="s">
        <v>5</v>
      </c>
      <c r="F7" t="s">
        <v>210</v>
      </c>
      <c r="G7" t="s">
        <v>12</v>
      </c>
      <c r="H7" t="s">
        <v>22</v>
      </c>
      <c r="I7" t="s">
        <v>10</v>
      </c>
      <c r="J7">
        <f>(Table15[[#This Row],[K Variance]])*100</f>
        <v>37</v>
      </c>
      <c r="K7">
        <f>(Table15[[#This Row],[C Variance]])*100</f>
        <v>5</v>
      </c>
      <c r="L7" t="s">
        <v>211</v>
      </c>
      <c r="M7" t="s">
        <v>50</v>
      </c>
    </row>
    <row r="8" spans="1:13" x14ac:dyDescent="0.25">
      <c r="A8" t="s">
        <v>51</v>
      </c>
      <c r="B8" t="s">
        <v>29</v>
      </c>
      <c r="C8" t="s">
        <v>5</v>
      </c>
      <c r="D8" t="s">
        <v>13</v>
      </c>
      <c r="E8" t="s">
        <v>5</v>
      </c>
      <c r="F8" t="s">
        <v>170</v>
      </c>
      <c r="G8" t="s">
        <v>12</v>
      </c>
      <c r="H8" t="s">
        <v>22</v>
      </c>
      <c r="I8" t="s">
        <v>10</v>
      </c>
      <c r="J8">
        <f>(Table15[[#This Row],[K Variance]])*100</f>
        <v>30</v>
      </c>
      <c r="K8">
        <f>(Table15[[#This Row],[C Variance]])*100</f>
        <v>2</v>
      </c>
      <c r="L8" t="s">
        <v>212</v>
      </c>
      <c r="M8" t="s">
        <v>55</v>
      </c>
    </row>
    <row r="9" spans="1:13" x14ac:dyDescent="0.25">
      <c r="A9" t="s">
        <v>56</v>
      </c>
      <c r="B9" t="s">
        <v>30</v>
      </c>
      <c r="C9" t="s">
        <v>5</v>
      </c>
      <c r="D9" t="s">
        <v>57</v>
      </c>
      <c r="E9" t="s">
        <v>5</v>
      </c>
      <c r="F9" t="s">
        <v>112</v>
      </c>
      <c r="G9" t="s">
        <v>12</v>
      </c>
      <c r="H9" t="s">
        <v>22</v>
      </c>
      <c r="I9" t="s">
        <v>10</v>
      </c>
      <c r="J9">
        <f>(Table15[[#This Row],[K Variance]])*100</f>
        <v>31</v>
      </c>
      <c r="K9">
        <f>(Table15[[#This Row],[C Variance]])*100</f>
        <v>7.0000000000000009</v>
      </c>
      <c r="L9" t="s">
        <v>213</v>
      </c>
      <c r="M9" t="s">
        <v>60</v>
      </c>
    </row>
    <row r="12" spans="1:13" ht="15" customHeight="1" x14ac:dyDescent="0.25">
      <c r="A12" s="9" t="s">
        <v>361</v>
      </c>
      <c r="B12" s="9"/>
      <c r="C12" s="9"/>
      <c r="D12" s="9"/>
      <c r="E12" s="9"/>
      <c r="F12" s="9"/>
      <c r="G12" s="9"/>
    </row>
    <row r="13" spans="1:13" ht="15" customHeight="1" x14ac:dyDescent="0.25">
      <c r="A13" s="11" t="s">
        <v>364</v>
      </c>
      <c r="B13" s="11"/>
      <c r="C13" s="11"/>
      <c r="D13" s="11"/>
      <c r="E13" s="11"/>
      <c r="F13" s="11"/>
      <c r="G13" s="11"/>
    </row>
    <row r="14" spans="1:13" x14ac:dyDescent="0.25">
      <c r="A14" s="11" t="s">
        <v>359</v>
      </c>
      <c r="B14" s="11"/>
      <c r="C14" s="11"/>
      <c r="D14" s="11"/>
      <c r="E14" s="11"/>
      <c r="F14" s="11"/>
      <c r="G14" s="11"/>
    </row>
    <row r="15" spans="1:13" x14ac:dyDescent="0.25">
      <c r="A15" s="11" t="s">
        <v>358</v>
      </c>
      <c r="B15" s="11"/>
      <c r="C15" s="11"/>
      <c r="D15" s="11"/>
      <c r="E15" s="11"/>
      <c r="F15" s="11"/>
      <c r="G15" s="11"/>
    </row>
  </sheetData>
  <mergeCells count="4">
    <mergeCell ref="A15:G15"/>
    <mergeCell ref="A12:G12"/>
    <mergeCell ref="A13:G13"/>
    <mergeCell ref="A14:G14"/>
  </mergeCells>
  <pageMargins left="0.7" right="0.7" top="0.75" bottom="0.75" header="0.3" footer="0.3"/>
  <pageSetup paperSize="9" orientation="portrait" horizontalDpi="300" verticalDpi="300"/>
  <headerFooter scaleWithDoc="0" alignWithMargins="0">
    <oddHeader>&amp;L&amp;CResults of variance component analyses using all models on the GS20K&amp;R</oddHeader>
  </headerFooter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P12" sqref="P12"/>
    </sheetView>
  </sheetViews>
  <sheetFormatPr defaultColWidth="8.85546875" defaultRowHeight="15" x14ac:dyDescent="0.25"/>
  <cols>
    <col min="1" max="1" width="25.7109375" customWidth="1"/>
    <col min="2" max="2" width="10.7109375" customWidth="1"/>
    <col min="3" max="3" width="6.7109375" customWidth="1"/>
    <col min="4" max="4" width="10.7109375" customWidth="1"/>
    <col min="5" max="5" width="6.7109375" customWidth="1"/>
    <col min="6" max="6" width="13.7109375" customWidth="1"/>
    <col min="7" max="7" width="7.7109375" customWidth="1"/>
    <col min="8" max="8" width="11.7109375" customWidth="1"/>
    <col min="9" max="9" width="6.7109375" customWidth="1"/>
    <col min="10" max="11" width="11.7109375" customWidth="1"/>
    <col min="12" max="13" width="8.7109375" customWidth="1"/>
    <col min="14" max="98" width="9.140625" customWidth="1"/>
  </cols>
  <sheetData>
    <row r="1" spans="1:13" x14ac:dyDescent="0.25">
      <c r="A1" t="s">
        <v>0</v>
      </c>
      <c r="B1" t="s">
        <v>343</v>
      </c>
      <c r="C1" t="s">
        <v>344</v>
      </c>
      <c r="D1" t="s">
        <v>345</v>
      </c>
      <c r="E1" t="s">
        <v>346</v>
      </c>
      <c r="F1" t="s">
        <v>349</v>
      </c>
      <c r="G1" t="s">
        <v>350</v>
      </c>
      <c r="H1" t="s">
        <v>351</v>
      </c>
      <c r="I1" t="s">
        <v>352</v>
      </c>
      <c r="J1" t="s">
        <v>355</v>
      </c>
      <c r="K1" t="s">
        <v>356</v>
      </c>
      <c r="L1" t="s">
        <v>1</v>
      </c>
      <c r="M1" t="s">
        <v>2</v>
      </c>
    </row>
    <row r="2" spans="1:13" x14ac:dyDescent="0.25">
      <c r="A2" t="s">
        <v>3</v>
      </c>
      <c r="B2" t="s">
        <v>27</v>
      </c>
      <c r="C2" t="s">
        <v>10</v>
      </c>
      <c r="D2" t="s">
        <v>20</v>
      </c>
      <c r="E2" t="s">
        <v>10</v>
      </c>
      <c r="F2" t="s">
        <v>129</v>
      </c>
      <c r="G2" t="s">
        <v>10</v>
      </c>
      <c r="H2" t="s">
        <v>22</v>
      </c>
      <c r="I2" t="s">
        <v>10</v>
      </c>
      <c r="J2">
        <f>(Table16[[#This Row],[F Variance]])*100</f>
        <v>23</v>
      </c>
      <c r="K2">
        <f>(Table16[[#This Row],[S Variance]])*100</f>
        <v>11</v>
      </c>
      <c r="L2" t="s">
        <v>214</v>
      </c>
      <c r="M2" t="s">
        <v>16</v>
      </c>
    </row>
    <row r="3" spans="1:13" s="1" customFormat="1" x14ac:dyDescent="0.25">
      <c r="A3" s="1" t="s">
        <v>17</v>
      </c>
      <c r="B3" s="1">
        <v>0.22</v>
      </c>
      <c r="C3" s="6" t="s">
        <v>10</v>
      </c>
      <c r="D3" s="1">
        <v>0.12</v>
      </c>
      <c r="E3" s="6" t="s">
        <v>5</v>
      </c>
      <c r="F3" s="1">
        <v>0.67</v>
      </c>
      <c r="G3" s="6" t="s">
        <v>10</v>
      </c>
      <c r="H3" s="1">
        <v>1</v>
      </c>
      <c r="I3" s="6" t="s">
        <v>10</v>
      </c>
      <c r="J3" s="1">
        <f>(Table16[[#This Row],[F Variance]])*100</f>
        <v>22</v>
      </c>
      <c r="K3" s="1">
        <f>(Table16[[#This Row],[S Variance]])*100</f>
        <v>12</v>
      </c>
      <c r="L3" s="1">
        <v>-8645.98</v>
      </c>
      <c r="M3" s="1">
        <v>18528</v>
      </c>
    </row>
    <row r="4" spans="1:13" x14ac:dyDescent="0.25">
      <c r="A4" s="1" t="s">
        <v>26</v>
      </c>
      <c r="B4" t="s">
        <v>177</v>
      </c>
      <c r="C4" t="s">
        <v>10</v>
      </c>
      <c r="D4" t="s">
        <v>9</v>
      </c>
      <c r="E4" t="s">
        <v>10</v>
      </c>
      <c r="F4" t="s">
        <v>129</v>
      </c>
      <c r="G4" t="s">
        <v>10</v>
      </c>
      <c r="H4" t="s">
        <v>14</v>
      </c>
      <c r="I4" t="s">
        <v>10</v>
      </c>
      <c r="J4">
        <f>(Table16[[#This Row],[F Variance]])*100</f>
        <v>25</v>
      </c>
      <c r="K4">
        <f>(Table16[[#This Row],[S Variance]])*100</f>
        <v>9</v>
      </c>
      <c r="L4" t="s">
        <v>215</v>
      </c>
      <c r="M4" t="s">
        <v>32</v>
      </c>
    </row>
    <row r="5" spans="1:13" x14ac:dyDescent="0.25">
      <c r="A5" t="s">
        <v>33</v>
      </c>
      <c r="B5" t="s">
        <v>43</v>
      </c>
      <c r="C5" t="s">
        <v>10</v>
      </c>
      <c r="D5" t="s">
        <v>169</v>
      </c>
      <c r="E5" t="s">
        <v>5</v>
      </c>
      <c r="F5" t="s">
        <v>159</v>
      </c>
      <c r="G5" t="s">
        <v>10</v>
      </c>
      <c r="H5" t="s">
        <v>22</v>
      </c>
      <c r="I5" t="s">
        <v>10</v>
      </c>
      <c r="J5">
        <f>(Table16[[#This Row],[F Variance]])*100</f>
        <v>16</v>
      </c>
      <c r="K5">
        <f>(Table16[[#This Row],[S Variance]])*100</f>
        <v>10</v>
      </c>
      <c r="L5" t="s">
        <v>216</v>
      </c>
      <c r="M5" t="s">
        <v>39</v>
      </c>
    </row>
    <row r="6" spans="1:13" x14ac:dyDescent="0.25">
      <c r="A6" t="s">
        <v>40</v>
      </c>
      <c r="B6" t="s">
        <v>34</v>
      </c>
      <c r="C6" t="s">
        <v>10</v>
      </c>
      <c r="D6" t="s">
        <v>28</v>
      </c>
      <c r="E6" t="s">
        <v>10</v>
      </c>
      <c r="F6" t="s">
        <v>159</v>
      </c>
      <c r="G6" t="s">
        <v>10</v>
      </c>
      <c r="H6" t="s">
        <v>22</v>
      </c>
      <c r="I6" t="s">
        <v>10</v>
      </c>
      <c r="J6">
        <f>(Table16[[#This Row],[F Variance]])*100</f>
        <v>20</v>
      </c>
      <c r="K6">
        <f>(Table16[[#This Row],[S Variance]])*100</f>
        <v>6</v>
      </c>
      <c r="L6" t="s">
        <v>217</v>
      </c>
      <c r="M6" t="s">
        <v>45</v>
      </c>
    </row>
    <row r="7" spans="1:13" x14ac:dyDescent="0.25">
      <c r="A7" t="s">
        <v>46</v>
      </c>
      <c r="B7" t="s">
        <v>18</v>
      </c>
      <c r="C7" t="s">
        <v>10</v>
      </c>
      <c r="D7" t="s">
        <v>57</v>
      </c>
      <c r="E7" t="s">
        <v>5</v>
      </c>
      <c r="F7" t="s">
        <v>218</v>
      </c>
      <c r="G7" t="s">
        <v>10</v>
      </c>
      <c r="H7" t="s">
        <v>22</v>
      </c>
      <c r="I7" t="s">
        <v>10</v>
      </c>
      <c r="J7">
        <f>(Table16[[#This Row],[F Variance]])*100</f>
        <v>13</v>
      </c>
      <c r="K7">
        <f>(Table16[[#This Row],[S Variance]])*100</f>
        <v>7.0000000000000009</v>
      </c>
      <c r="L7" t="s">
        <v>219</v>
      </c>
      <c r="M7" t="s">
        <v>50</v>
      </c>
    </row>
    <row r="8" spans="1:13" x14ac:dyDescent="0.25">
      <c r="A8" t="s">
        <v>51</v>
      </c>
      <c r="B8" t="s">
        <v>18</v>
      </c>
      <c r="C8" t="s">
        <v>10</v>
      </c>
      <c r="D8" t="s">
        <v>183</v>
      </c>
      <c r="E8" t="s">
        <v>5</v>
      </c>
      <c r="F8" t="s">
        <v>108</v>
      </c>
      <c r="G8" t="s">
        <v>10</v>
      </c>
      <c r="H8" t="s">
        <v>22</v>
      </c>
      <c r="I8" t="s">
        <v>10</v>
      </c>
      <c r="J8">
        <f>(Table16[[#This Row],[F Variance]])*100</f>
        <v>13</v>
      </c>
      <c r="K8">
        <f>(Table16[[#This Row],[S Variance]])*100</f>
        <v>1</v>
      </c>
      <c r="L8" t="s">
        <v>220</v>
      </c>
      <c r="M8" t="s">
        <v>55</v>
      </c>
    </row>
    <row r="9" spans="1:13" x14ac:dyDescent="0.25">
      <c r="A9" t="s">
        <v>56</v>
      </c>
      <c r="B9" t="s">
        <v>107</v>
      </c>
      <c r="C9" t="s">
        <v>10</v>
      </c>
      <c r="D9" t="s">
        <v>8</v>
      </c>
      <c r="E9" t="s">
        <v>10</v>
      </c>
      <c r="F9" t="s">
        <v>110</v>
      </c>
      <c r="G9" t="s">
        <v>10</v>
      </c>
      <c r="H9" t="s">
        <v>22</v>
      </c>
      <c r="I9" t="s">
        <v>10</v>
      </c>
      <c r="J9">
        <f>(Table16[[#This Row],[F Variance]])*100</f>
        <v>14.000000000000002</v>
      </c>
      <c r="K9">
        <f>(Table16[[#This Row],[S Variance]])*100</f>
        <v>0</v>
      </c>
      <c r="L9" t="s">
        <v>221</v>
      </c>
      <c r="M9" t="s">
        <v>60</v>
      </c>
    </row>
    <row r="13" spans="1:13" ht="15" customHeight="1" x14ac:dyDescent="0.25">
      <c r="A13" s="9" t="s">
        <v>362</v>
      </c>
      <c r="B13" s="9"/>
      <c r="C13" s="9"/>
      <c r="D13" s="9"/>
      <c r="E13" s="9"/>
      <c r="F13" s="9"/>
      <c r="G13" s="9"/>
    </row>
    <row r="14" spans="1:13" ht="15" customHeight="1" x14ac:dyDescent="0.25">
      <c r="A14" s="11" t="s">
        <v>363</v>
      </c>
      <c r="B14" s="11"/>
      <c r="C14" s="11"/>
      <c r="D14" s="11"/>
      <c r="E14" s="11"/>
      <c r="F14" s="11"/>
      <c r="G14" s="11"/>
    </row>
    <row r="15" spans="1:13" x14ac:dyDescent="0.25">
      <c r="A15" s="11" t="s">
        <v>359</v>
      </c>
      <c r="B15" s="11"/>
      <c r="C15" s="11"/>
      <c r="D15" s="11"/>
      <c r="E15" s="11"/>
      <c r="F15" s="11"/>
      <c r="G15" s="11"/>
    </row>
    <row r="16" spans="1:13" x14ac:dyDescent="0.25">
      <c r="A16" s="11" t="s">
        <v>358</v>
      </c>
      <c r="B16" s="11"/>
      <c r="C16" s="11"/>
      <c r="D16" s="11"/>
      <c r="E16" s="11"/>
      <c r="F16" s="11"/>
      <c r="G16" s="11"/>
    </row>
  </sheetData>
  <mergeCells count="4">
    <mergeCell ref="A16:G16"/>
    <mergeCell ref="A13:G13"/>
    <mergeCell ref="A14:G14"/>
    <mergeCell ref="A15:G15"/>
  </mergeCells>
  <pageMargins left="0.7" right="0.7" top="0.75" bottom="0.75" header="0.3" footer="0.3"/>
  <pageSetup paperSize="9" orientation="portrait" horizontalDpi="300" verticalDpi="300"/>
  <headerFooter scaleWithDoc="0" alignWithMargins="0">
    <oddHeader>&amp;L&amp;CResults of variance component analyses using all models on the GS20K&amp;R</oddHeader>
  </headerFooter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H28" sqref="H28"/>
    </sheetView>
  </sheetViews>
  <sheetFormatPr defaultColWidth="8.85546875" defaultRowHeight="15" x14ac:dyDescent="0.25"/>
  <cols>
    <col min="1" max="1" width="25.7109375" customWidth="1"/>
    <col min="2" max="2" width="10.7109375" customWidth="1"/>
    <col min="3" max="3" width="6.7109375" customWidth="1"/>
    <col min="4" max="4" width="10.7109375" customWidth="1"/>
    <col min="5" max="5" width="6.7109375" customWidth="1"/>
    <col min="6" max="6" width="13.7109375" customWidth="1"/>
    <col min="7" max="7" width="7.7109375" customWidth="1"/>
    <col min="8" max="8" width="11.7109375" customWidth="1"/>
    <col min="9" max="9" width="6.7109375" customWidth="1"/>
    <col min="10" max="11" width="11.7109375" customWidth="1"/>
    <col min="12" max="13" width="8.7109375" customWidth="1"/>
    <col min="14" max="98" width="9.140625" customWidth="1"/>
  </cols>
  <sheetData>
    <row r="1" spans="1:13" x14ac:dyDescent="0.25">
      <c r="A1" t="s">
        <v>0</v>
      </c>
      <c r="B1" t="s">
        <v>345</v>
      </c>
      <c r="C1" t="s">
        <v>346</v>
      </c>
      <c r="D1" t="s">
        <v>347</v>
      </c>
      <c r="E1" t="s">
        <v>348</v>
      </c>
      <c r="F1" t="s">
        <v>349</v>
      </c>
      <c r="G1" t="s">
        <v>350</v>
      </c>
      <c r="H1" t="s">
        <v>351</v>
      </c>
      <c r="I1" t="s">
        <v>352</v>
      </c>
      <c r="J1" t="s">
        <v>356</v>
      </c>
      <c r="K1" t="s">
        <v>357</v>
      </c>
      <c r="L1" t="s">
        <v>1</v>
      </c>
      <c r="M1" t="s">
        <v>2</v>
      </c>
    </row>
    <row r="2" spans="1:13" x14ac:dyDescent="0.25">
      <c r="A2" t="s">
        <v>3</v>
      </c>
      <c r="B2" t="s">
        <v>114</v>
      </c>
      <c r="C2" t="s">
        <v>10</v>
      </c>
      <c r="D2" t="s">
        <v>27</v>
      </c>
      <c r="E2" t="s">
        <v>5</v>
      </c>
      <c r="F2" t="s">
        <v>19</v>
      </c>
      <c r="G2" t="s">
        <v>5</v>
      </c>
      <c r="H2" t="s">
        <v>22</v>
      </c>
      <c r="I2" t="s">
        <v>10</v>
      </c>
      <c r="J2">
        <f>(Table17[[#This Row],[S Variance]])*100</f>
        <v>37</v>
      </c>
      <c r="K2">
        <f>(Table17[[#This Row],[C Variance]])*100</f>
        <v>23</v>
      </c>
      <c r="L2" t="s">
        <v>222</v>
      </c>
      <c r="M2" t="s">
        <v>16</v>
      </c>
    </row>
    <row r="3" spans="1:13" x14ac:dyDescent="0.25">
      <c r="A3" t="s">
        <v>17</v>
      </c>
      <c r="B3" t="s">
        <v>69</v>
      </c>
      <c r="C3" t="s">
        <v>10</v>
      </c>
      <c r="D3" t="s">
        <v>37</v>
      </c>
      <c r="E3" t="s">
        <v>5</v>
      </c>
      <c r="F3" t="s">
        <v>186</v>
      </c>
      <c r="G3" t="s">
        <v>5</v>
      </c>
      <c r="H3" t="s">
        <v>22</v>
      </c>
      <c r="I3" t="s">
        <v>10</v>
      </c>
      <c r="J3">
        <f>(Table17[[#This Row],[S Variance]])*100</f>
        <v>34</v>
      </c>
      <c r="K3">
        <f>(Table17[[#This Row],[C Variance]])*100</f>
        <v>32</v>
      </c>
      <c r="L3" t="s">
        <v>223</v>
      </c>
      <c r="M3" t="s">
        <v>25</v>
      </c>
    </row>
    <row r="4" spans="1:13" x14ac:dyDescent="0.25">
      <c r="A4" t="s">
        <v>26</v>
      </c>
      <c r="B4" t="s">
        <v>21</v>
      </c>
      <c r="C4" t="s">
        <v>10</v>
      </c>
      <c r="D4" t="s">
        <v>96</v>
      </c>
      <c r="E4" t="s">
        <v>5</v>
      </c>
      <c r="F4" t="s">
        <v>128</v>
      </c>
      <c r="G4" t="s">
        <v>5</v>
      </c>
      <c r="H4" t="s">
        <v>22</v>
      </c>
      <c r="I4" t="s">
        <v>10</v>
      </c>
      <c r="J4">
        <f>(Table17[[#This Row],[S Variance]])*100</f>
        <v>36</v>
      </c>
      <c r="K4">
        <f>(Table17[[#This Row],[C Variance]])*100</f>
        <v>28.000000000000004</v>
      </c>
      <c r="L4" t="s">
        <v>224</v>
      </c>
      <c r="M4" t="s">
        <v>32</v>
      </c>
    </row>
    <row r="5" spans="1:13" x14ac:dyDescent="0.25">
      <c r="A5" t="s">
        <v>33</v>
      </c>
      <c r="B5" t="s">
        <v>73</v>
      </c>
      <c r="C5" t="s">
        <v>10</v>
      </c>
      <c r="D5" t="s">
        <v>107</v>
      </c>
      <c r="E5" t="s">
        <v>5</v>
      </c>
      <c r="F5" t="s">
        <v>87</v>
      </c>
      <c r="G5" t="s">
        <v>12</v>
      </c>
      <c r="H5" t="s">
        <v>22</v>
      </c>
      <c r="I5" t="s">
        <v>10</v>
      </c>
      <c r="J5">
        <f>(Table17[[#This Row],[S Variance]])*100</f>
        <v>27</v>
      </c>
      <c r="K5">
        <f>(Table17[[#This Row],[C Variance]])*100</f>
        <v>14.000000000000002</v>
      </c>
      <c r="L5" t="s">
        <v>225</v>
      </c>
      <c r="M5" t="s">
        <v>39</v>
      </c>
    </row>
    <row r="6" spans="1:13" x14ac:dyDescent="0.25">
      <c r="A6" t="s">
        <v>40</v>
      </c>
      <c r="B6" t="s">
        <v>96</v>
      </c>
      <c r="C6" t="s">
        <v>10</v>
      </c>
      <c r="D6" t="s">
        <v>52</v>
      </c>
      <c r="E6" t="s">
        <v>5</v>
      </c>
      <c r="F6" t="s">
        <v>79</v>
      </c>
      <c r="G6" t="s">
        <v>5</v>
      </c>
      <c r="H6" t="s">
        <v>22</v>
      </c>
      <c r="I6" t="s">
        <v>10</v>
      </c>
      <c r="J6">
        <f>(Table17[[#This Row],[S Variance]])*100</f>
        <v>28.000000000000004</v>
      </c>
      <c r="K6">
        <f>(Table17[[#This Row],[C Variance]])*100</f>
        <v>15</v>
      </c>
      <c r="L6" t="s">
        <v>226</v>
      </c>
      <c r="M6" t="s">
        <v>45</v>
      </c>
    </row>
    <row r="7" spans="1:13" x14ac:dyDescent="0.25">
      <c r="A7" t="s">
        <v>46</v>
      </c>
      <c r="B7" t="s">
        <v>120</v>
      </c>
      <c r="C7" t="s">
        <v>10</v>
      </c>
      <c r="D7" t="s">
        <v>227</v>
      </c>
      <c r="E7" t="s">
        <v>5</v>
      </c>
      <c r="F7" t="s">
        <v>159</v>
      </c>
      <c r="G7" t="s">
        <v>12</v>
      </c>
      <c r="H7" t="s">
        <v>22</v>
      </c>
      <c r="I7" t="s">
        <v>10</v>
      </c>
      <c r="J7">
        <f>(Table17[[#This Row],[S Variance]])*100</f>
        <v>22</v>
      </c>
      <c r="K7">
        <f>(Table17[[#This Row],[C Variance]])*100</f>
        <v>4</v>
      </c>
      <c r="L7" t="s">
        <v>228</v>
      </c>
      <c r="M7" t="s">
        <v>50</v>
      </c>
    </row>
    <row r="8" spans="1:13" x14ac:dyDescent="0.25">
      <c r="A8" t="s">
        <v>51</v>
      </c>
      <c r="B8" t="s">
        <v>52</v>
      </c>
      <c r="C8" t="s">
        <v>10</v>
      </c>
      <c r="D8" t="s">
        <v>136</v>
      </c>
      <c r="E8" t="s">
        <v>12</v>
      </c>
      <c r="F8" t="s">
        <v>229</v>
      </c>
      <c r="G8" t="s">
        <v>12</v>
      </c>
      <c r="H8" t="s">
        <v>22</v>
      </c>
      <c r="I8" t="s">
        <v>10</v>
      </c>
      <c r="J8">
        <f>(Table17[[#This Row],[S Variance]])*100</f>
        <v>15</v>
      </c>
      <c r="K8">
        <f>(Table17[[#This Row],[C Variance]])*100</f>
        <v>3</v>
      </c>
      <c r="L8" t="s">
        <v>230</v>
      </c>
      <c r="M8" t="s">
        <v>55</v>
      </c>
    </row>
    <row r="9" spans="1:13" x14ac:dyDescent="0.25">
      <c r="A9" t="s">
        <v>56</v>
      </c>
      <c r="B9" t="s">
        <v>43</v>
      </c>
      <c r="C9" t="s">
        <v>10</v>
      </c>
      <c r="D9" t="s">
        <v>28</v>
      </c>
      <c r="E9" t="s">
        <v>5</v>
      </c>
      <c r="F9" t="s">
        <v>121</v>
      </c>
      <c r="G9" t="s">
        <v>12</v>
      </c>
      <c r="H9" t="s">
        <v>22</v>
      </c>
      <c r="I9" t="s">
        <v>10</v>
      </c>
      <c r="J9">
        <f>(Table17[[#This Row],[S Variance]])*100</f>
        <v>16</v>
      </c>
      <c r="K9">
        <f>(Table17[[#This Row],[C Variance]])*100</f>
        <v>6</v>
      </c>
      <c r="L9" t="s">
        <v>231</v>
      </c>
      <c r="M9" t="s">
        <v>60</v>
      </c>
    </row>
    <row r="12" spans="1:13" ht="15" customHeight="1" x14ac:dyDescent="0.25">
      <c r="A12" s="9" t="s">
        <v>363</v>
      </c>
      <c r="B12" s="9"/>
      <c r="C12" s="9"/>
      <c r="D12" s="9"/>
      <c r="E12" s="9"/>
      <c r="F12" s="9"/>
      <c r="G12" s="9"/>
    </row>
    <row r="13" spans="1:13" ht="15" customHeight="1" x14ac:dyDescent="0.25">
      <c r="A13" s="11" t="s">
        <v>364</v>
      </c>
      <c r="B13" s="11"/>
      <c r="C13" s="11"/>
      <c r="D13" s="11"/>
      <c r="E13" s="11"/>
      <c r="F13" s="11"/>
      <c r="G13" s="11"/>
    </row>
    <row r="14" spans="1:13" x14ac:dyDescent="0.25">
      <c r="A14" s="11" t="s">
        <v>359</v>
      </c>
      <c r="B14" s="11"/>
      <c r="C14" s="11"/>
      <c r="D14" s="11"/>
      <c r="E14" s="11"/>
      <c r="F14" s="11"/>
      <c r="G14" s="11"/>
    </row>
    <row r="15" spans="1:13" x14ac:dyDescent="0.25">
      <c r="A15" s="11" t="s">
        <v>358</v>
      </c>
      <c r="B15" s="11"/>
      <c r="C15" s="11"/>
      <c r="D15" s="11"/>
      <c r="E15" s="11"/>
      <c r="F15" s="11"/>
      <c r="G15" s="11"/>
    </row>
  </sheetData>
  <mergeCells count="4">
    <mergeCell ref="A15:G15"/>
    <mergeCell ref="A12:G12"/>
    <mergeCell ref="A13:G13"/>
    <mergeCell ref="A14:G14"/>
  </mergeCells>
  <pageMargins left="0.7" right="0.7" top="0.75" bottom="0.75" header="0.3" footer="0.3"/>
  <pageSetup paperSize="9" orientation="portrait" horizontalDpi="300" verticalDpi="300"/>
  <headerFooter scaleWithDoc="0" alignWithMargins="0">
    <oddHeader>&amp;L&amp;CResults of variance component analyses using all models on the GS20K&amp;R</oddHeader>
  </headerFooter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A12" sqref="A12:G16"/>
    </sheetView>
  </sheetViews>
  <sheetFormatPr defaultColWidth="8.85546875" defaultRowHeight="15" x14ac:dyDescent="0.25"/>
  <cols>
    <col min="1" max="1" width="25.7109375" customWidth="1"/>
    <col min="2" max="2" width="10.7109375" customWidth="1"/>
    <col min="3" max="3" width="6.7109375" customWidth="1"/>
    <col min="4" max="4" width="10.7109375" customWidth="1"/>
    <col min="5" max="5" width="6.7109375" customWidth="1"/>
    <col min="6" max="6" width="10.7109375" customWidth="1"/>
    <col min="7" max="7" width="6.7109375" customWidth="1"/>
    <col min="8" max="8" width="13.7109375" customWidth="1"/>
    <col min="9" max="9" width="7.7109375" customWidth="1"/>
    <col min="10" max="10" width="11.7109375" customWidth="1"/>
    <col min="11" max="11" width="6.7109375" customWidth="1"/>
    <col min="12" max="14" width="11.7109375" customWidth="1"/>
    <col min="15" max="16" width="8.7109375" customWidth="1"/>
    <col min="17" max="97" width="9.140625" customWidth="1"/>
  </cols>
  <sheetData>
    <row r="1" spans="1:16" x14ac:dyDescent="0.25">
      <c r="A1" t="s">
        <v>0</v>
      </c>
      <c r="B1" t="s">
        <v>339</v>
      </c>
      <c r="C1" t="s">
        <v>340</v>
      </c>
      <c r="D1" t="s">
        <v>343</v>
      </c>
      <c r="E1" t="s">
        <v>344</v>
      </c>
      <c r="F1" t="s">
        <v>347</v>
      </c>
      <c r="G1" t="s">
        <v>348</v>
      </c>
      <c r="H1" t="s">
        <v>349</v>
      </c>
      <c r="I1" t="s">
        <v>350</v>
      </c>
      <c r="J1" t="s">
        <v>351</v>
      </c>
      <c r="K1" t="s">
        <v>352</v>
      </c>
      <c r="L1" t="s">
        <v>353</v>
      </c>
      <c r="M1" t="s">
        <v>355</v>
      </c>
      <c r="N1" t="s">
        <v>357</v>
      </c>
      <c r="O1" t="s">
        <v>1</v>
      </c>
      <c r="P1" t="s">
        <v>2</v>
      </c>
    </row>
    <row r="2" spans="1:16" x14ac:dyDescent="0.25">
      <c r="A2" t="s">
        <v>3</v>
      </c>
      <c r="B2" t="s">
        <v>100</v>
      </c>
      <c r="C2" t="s">
        <v>5</v>
      </c>
      <c r="D2" t="s">
        <v>107</v>
      </c>
      <c r="E2" t="s">
        <v>10</v>
      </c>
      <c r="F2" t="s">
        <v>169</v>
      </c>
      <c r="G2" t="s">
        <v>5</v>
      </c>
      <c r="H2" t="s">
        <v>61</v>
      </c>
      <c r="I2" t="s">
        <v>12</v>
      </c>
      <c r="J2" t="s">
        <v>14</v>
      </c>
      <c r="K2" t="s">
        <v>10</v>
      </c>
      <c r="L2">
        <f>(Table18[[#This Row],[G Variance]])*100</f>
        <v>28.999999999999996</v>
      </c>
      <c r="M2">
        <f>(Table18[[#This Row],[F Variance]])*100</f>
        <v>14.000000000000002</v>
      </c>
      <c r="N2">
        <f>(Table18[[#This Row],[C Variance]])*100</f>
        <v>10</v>
      </c>
      <c r="O2" t="s">
        <v>232</v>
      </c>
      <c r="P2" t="s">
        <v>16</v>
      </c>
    </row>
    <row r="3" spans="1:16" x14ac:dyDescent="0.25">
      <c r="A3" t="s">
        <v>17</v>
      </c>
      <c r="B3" t="s">
        <v>4</v>
      </c>
      <c r="C3" t="s">
        <v>5</v>
      </c>
      <c r="D3" t="s">
        <v>52</v>
      </c>
      <c r="E3" t="s">
        <v>10</v>
      </c>
      <c r="F3" t="s">
        <v>34</v>
      </c>
      <c r="G3" t="s">
        <v>5</v>
      </c>
      <c r="H3" t="s">
        <v>80</v>
      </c>
      <c r="I3" t="s">
        <v>5</v>
      </c>
      <c r="J3" t="s">
        <v>14</v>
      </c>
      <c r="K3" t="s">
        <v>10</v>
      </c>
      <c r="L3">
        <f>(Table18[[#This Row],[G Variance]])*100</f>
        <v>21</v>
      </c>
      <c r="M3">
        <f>(Table18[[#This Row],[F Variance]])*100</f>
        <v>15</v>
      </c>
      <c r="N3">
        <f>(Table18[[#This Row],[C Variance]])*100</f>
        <v>20</v>
      </c>
      <c r="O3" t="s">
        <v>233</v>
      </c>
      <c r="P3" t="s">
        <v>25</v>
      </c>
    </row>
    <row r="4" spans="1:16" x14ac:dyDescent="0.25">
      <c r="A4" t="s">
        <v>26</v>
      </c>
      <c r="B4" t="s">
        <v>37</v>
      </c>
      <c r="C4" t="s">
        <v>5</v>
      </c>
      <c r="D4" t="s">
        <v>18</v>
      </c>
      <c r="E4" t="s">
        <v>10</v>
      </c>
      <c r="F4" t="s">
        <v>43</v>
      </c>
      <c r="G4" t="s">
        <v>5</v>
      </c>
      <c r="H4" t="s">
        <v>63</v>
      </c>
      <c r="I4" t="s">
        <v>5</v>
      </c>
      <c r="J4" t="s">
        <v>14</v>
      </c>
      <c r="K4" t="s">
        <v>10</v>
      </c>
      <c r="L4">
        <f>(Table18[[#This Row],[G Variance]])*100</f>
        <v>32</v>
      </c>
      <c r="M4">
        <f>(Table18[[#This Row],[F Variance]])*100</f>
        <v>13</v>
      </c>
      <c r="N4">
        <f>(Table18[[#This Row],[C Variance]])*100</f>
        <v>16</v>
      </c>
      <c r="O4" t="s">
        <v>234</v>
      </c>
      <c r="P4" t="s">
        <v>32</v>
      </c>
    </row>
    <row r="5" spans="1:16" x14ac:dyDescent="0.25">
      <c r="A5" t="s">
        <v>33</v>
      </c>
      <c r="B5" t="s">
        <v>177</v>
      </c>
      <c r="C5" t="s">
        <v>5</v>
      </c>
      <c r="D5" t="s">
        <v>35</v>
      </c>
      <c r="E5" t="s">
        <v>10</v>
      </c>
      <c r="F5" t="s">
        <v>57</v>
      </c>
      <c r="G5" t="s">
        <v>5</v>
      </c>
      <c r="H5" t="s">
        <v>126</v>
      </c>
      <c r="I5" t="s">
        <v>12</v>
      </c>
      <c r="J5" t="s">
        <v>22</v>
      </c>
      <c r="K5" t="s">
        <v>10</v>
      </c>
      <c r="L5">
        <f>(Table18[[#This Row],[G Variance]])*100</f>
        <v>25</v>
      </c>
      <c r="M5">
        <f>(Table18[[#This Row],[F Variance]])*100</f>
        <v>8</v>
      </c>
      <c r="N5">
        <f>(Table18[[#This Row],[C Variance]])*100</f>
        <v>7.0000000000000009</v>
      </c>
      <c r="O5" t="s">
        <v>235</v>
      </c>
      <c r="P5" t="s">
        <v>39</v>
      </c>
    </row>
    <row r="6" spans="1:16" x14ac:dyDescent="0.25">
      <c r="A6" t="s">
        <v>40</v>
      </c>
      <c r="B6" t="s">
        <v>27</v>
      </c>
      <c r="C6" t="s">
        <v>5</v>
      </c>
      <c r="D6" t="s">
        <v>148</v>
      </c>
      <c r="E6" t="s">
        <v>10</v>
      </c>
      <c r="F6" t="s">
        <v>136</v>
      </c>
      <c r="G6" t="s">
        <v>5</v>
      </c>
      <c r="H6" t="s">
        <v>236</v>
      </c>
      <c r="I6" t="s">
        <v>12</v>
      </c>
      <c r="J6" t="s">
        <v>22</v>
      </c>
      <c r="K6" t="s">
        <v>10</v>
      </c>
      <c r="L6">
        <f>(Table18[[#This Row],[G Variance]])*100</f>
        <v>23</v>
      </c>
      <c r="M6">
        <f>(Table18[[#This Row],[F Variance]])*100</f>
        <v>12</v>
      </c>
      <c r="N6">
        <f>(Table18[[#This Row],[C Variance]])*100</f>
        <v>3</v>
      </c>
      <c r="O6" t="s">
        <v>237</v>
      </c>
      <c r="P6" t="s">
        <v>45</v>
      </c>
    </row>
    <row r="7" spans="1:16" x14ac:dyDescent="0.25">
      <c r="A7" t="s">
        <v>46</v>
      </c>
      <c r="B7" t="s">
        <v>107</v>
      </c>
      <c r="C7" t="s">
        <v>5</v>
      </c>
      <c r="D7" t="s">
        <v>35</v>
      </c>
      <c r="E7" t="s">
        <v>10</v>
      </c>
      <c r="F7" t="s">
        <v>8</v>
      </c>
      <c r="G7" t="s">
        <v>12</v>
      </c>
      <c r="H7" t="s">
        <v>121</v>
      </c>
      <c r="I7" t="s">
        <v>12</v>
      </c>
      <c r="J7" t="s">
        <v>22</v>
      </c>
      <c r="K7" t="s">
        <v>10</v>
      </c>
      <c r="L7">
        <f>(Table18[[#This Row],[G Variance]])*100</f>
        <v>14.000000000000002</v>
      </c>
      <c r="M7">
        <f>(Table18[[#This Row],[F Variance]])*100</f>
        <v>8</v>
      </c>
      <c r="N7">
        <f>(Table18[[#This Row],[C Variance]])*100</f>
        <v>0</v>
      </c>
      <c r="O7" t="s">
        <v>238</v>
      </c>
      <c r="P7" t="s">
        <v>50</v>
      </c>
    </row>
    <row r="8" spans="1:16" x14ac:dyDescent="0.25">
      <c r="A8" t="s">
        <v>51</v>
      </c>
      <c r="B8" t="s">
        <v>20</v>
      </c>
      <c r="C8" t="s">
        <v>5</v>
      </c>
      <c r="D8" t="s">
        <v>28</v>
      </c>
      <c r="E8" t="s">
        <v>10</v>
      </c>
      <c r="F8" t="s">
        <v>8</v>
      </c>
      <c r="G8" t="s">
        <v>12</v>
      </c>
      <c r="H8" t="s">
        <v>229</v>
      </c>
      <c r="I8" t="s">
        <v>12</v>
      </c>
      <c r="J8" t="s">
        <v>22</v>
      </c>
      <c r="K8" t="s">
        <v>10</v>
      </c>
      <c r="L8">
        <f>(Table18[[#This Row],[G Variance]])*100</f>
        <v>11</v>
      </c>
      <c r="M8">
        <f>(Table18[[#This Row],[F Variance]])*100</f>
        <v>6</v>
      </c>
      <c r="N8">
        <f>(Table18[[#This Row],[C Variance]])*100</f>
        <v>0</v>
      </c>
      <c r="O8" t="s">
        <v>239</v>
      </c>
      <c r="P8" t="s">
        <v>55</v>
      </c>
    </row>
    <row r="9" spans="1:16" x14ac:dyDescent="0.25">
      <c r="A9" t="s">
        <v>56</v>
      </c>
      <c r="B9" t="s">
        <v>20</v>
      </c>
      <c r="C9" t="s">
        <v>5</v>
      </c>
      <c r="D9" t="s">
        <v>9</v>
      </c>
      <c r="E9" t="s">
        <v>10</v>
      </c>
      <c r="F9" t="s">
        <v>8</v>
      </c>
      <c r="G9" t="s">
        <v>12</v>
      </c>
      <c r="H9" t="s">
        <v>102</v>
      </c>
      <c r="I9" t="s">
        <v>12</v>
      </c>
      <c r="J9" t="s">
        <v>22</v>
      </c>
      <c r="K9" t="s">
        <v>10</v>
      </c>
      <c r="L9">
        <f>(Table18[[#This Row],[G Variance]])*100</f>
        <v>11</v>
      </c>
      <c r="M9">
        <f>(Table18[[#This Row],[F Variance]])*100</f>
        <v>9</v>
      </c>
      <c r="N9">
        <f>(Table18[[#This Row],[C Variance]])*100</f>
        <v>0</v>
      </c>
      <c r="O9" t="s">
        <v>240</v>
      </c>
      <c r="P9" t="s">
        <v>60</v>
      </c>
    </row>
    <row r="12" spans="1:16" ht="15" customHeight="1" x14ac:dyDescent="0.25">
      <c r="A12" s="9" t="s">
        <v>360</v>
      </c>
      <c r="B12" s="9"/>
      <c r="C12" s="9"/>
      <c r="D12" s="9"/>
      <c r="E12" s="9"/>
      <c r="F12" s="9"/>
      <c r="G12" s="9"/>
      <c r="H12" s="2"/>
    </row>
    <row r="13" spans="1:16" ht="15" customHeight="1" x14ac:dyDescent="0.25">
      <c r="A13" s="9" t="s">
        <v>362</v>
      </c>
      <c r="B13" s="9"/>
      <c r="C13" s="9"/>
      <c r="D13" s="9"/>
      <c r="E13" s="9"/>
      <c r="F13" s="9"/>
      <c r="G13" s="9"/>
      <c r="H13" s="2"/>
    </row>
    <row r="14" spans="1:16" ht="15" customHeight="1" x14ac:dyDescent="0.25">
      <c r="A14" s="9" t="s">
        <v>364</v>
      </c>
      <c r="B14" s="9"/>
      <c r="C14" s="9"/>
      <c r="D14" s="9"/>
      <c r="E14" s="9"/>
      <c r="F14" s="9"/>
      <c r="G14" s="9"/>
      <c r="H14" s="2"/>
    </row>
    <row r="15" spans="1:16" ht="15" customHeight="1" x14ac:dyDescent="0.25">
      <c r="A15" s="9" t="s">
        <v>359</v>
      </c>
      <c r="B15" s="9"/>
      <c r="C15" s="9"/>
      <c r="D15" s="9"/>
      <c r="E15" s="9"/>
      <c r="F15" s="9"/>
      <c r="G15" s="9"/>
      <c r="H15" s="2"/>
    </row>
    <row r="16" spans="1:16" ht="15" customHeight="1" x14ac:dyDescent="0.25">
      <c r="A16" s="9" t="s">
        <v>358</v>
      </c>
      <c r="B16" s="9"/>
      <c r="C16" s="9"/>
      <c r="D16" s="9"/>
      <c r="E16" s="9"/>
      <c r="F16" s="9"/>
      <c r="G16" s="9"/>
      <c r="H16" s="2"/>
    </row>
  </sheetData>
  <mergeCells count="5">
    <mergeCell ref="A12:G12"/>
    <mergeCell ref="A13:G13"/>
    <mergeCell ref="A14:G14"/>
    <mergeCell ref="A15:G15"/>
    <mergeCell ref="A16:G16"/>
  </mergeCells>
  <pageMargins left="0.7" right="0.7" top="0.75" bottom="0.75" header="0.3" footer="0.3"/>
  <pageSetup paperSize="9" orientation="portrait" horizontalDpi="300" verticalDpi="300"/>
  <headerFooter scaleWithDoc="0" alignWithMargins="0">
    <oddHeader>&amp;L&amp;CResults of variance component analyses using all models on the GS20K&amp;R</oddHeader>
  </headerFooter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A12" sqref="A12:G16"/>
    </sheetView>
  </sheetViews>
  <sheetFormatPr defaultColWidth="8.85546875" defaultRowHeight="15" x14ac:dyDescent="0.25"/>
  <cols>
    <col min="1" max="1" width="25.7109375" customWidth="1"/>
    <col min="2" max="2" width="10.7109375" customWidth="1"/>
    <col min="3" max="3" width="6.7109375" customWidth="1"/>
    <col min="4" max="4" width="10.7109375" customWidth="1"/>
    <col min="5" max="5" width="6.7109375" customWidth="1"/>
    <col min="6" max="6" width="10.7109375" customWidth="1"/>
    <col min="7" max="7" width="6.7109375" customWidth="1"/>
    <col min="8" max="8" width="13.7109375" customWidth="1"/>
    <col min="9" max="9" width="7.7109375" customWidth="1"/>
    <col min="10" max="10" width="11.7109375" customWidth="1"/>
    <col min="11" max="11" width="6.7109375" customWidth="1"/>
    <col min="12" max="14" width="11.7109375" customWidth="1"/>
    <col min="15" max="16" width="8.7109375" customWidth="1"/>
    <col min="17" max="97" width="9.140625" customWidth="1"/>
  </cols>
  <sheetData>
    <row r="1" spans="1:16" x14ac:dyDescent="0.25">
      <c r="A1" t="s">
        <v>0</v>
      </c>
      <c r="B1" t="s">
        <v>339</v>
      </c>
      <c r="C1" t="s">
        <v>340</v>
      </c>
      <c r="D1" t="s">
        <v>343</v>
      </c>
      <c r="E1" t="s">
        <v>344</v>
      </c>
      <c r="F1" t="s">
        <v>345</v>
      </c>
      <c r="G1" t="s">
        <v>346</v>
      </c>
      <c r="H1" t="s">
        <v>349</v>
      </c>
      <c r="I1" t="s">
        <v>350</v>
      </c>
      <c r="J1" t="s">
        <v>351</v>
      </c>
      <c r="K1" t="s">
        <v>352</v>
      </c>
      <c r="L1" t="s">
        <v>353</v>
      </c>
      <c r="M1" t="s">
        <v>355</v>
      </c>
      <c r="N1" t="s">
        <v>356</v>
      </c>
      <c r="O1" t="s">
        <v>1</v>
      </c>
      <c r="P1" t="s">
        <v>2</v>
      </c>
    </row>
    <row r="2" spans="1:16" x14ac:dyDescent="0.25">
      <c r="A2" t="s">
        <v>3</v>
      </c>
      <c r="B2" t="s">
        <v>11</v>
      </c>
      <c r="C2" t="s">
        <v>5</v>
      </c>
      <c r="D2" t="s">
        <v>18</v>
      </c>
      <c r="E2" t="s">
        <v>10</v>
      </c>
      <c r="F2" t="s">
        <v>169</v>
      </c>
      <c r="G2" t="s">
        <v>10</v>
      </c>
      <c r="H2" t="s">
        <v>83</v>
      </c>
      <c r="I2" t="s">
        <v>10</v>
      </c>
      <c r="J2" t="s">
        <v>22</v>
      </c>
      <c r="K2" t="s">
        <v>10</v>
      </c>
      <c r="L2">
        <f>(Table19[[#This Row],[G Variance]])*100</f>
        <v>26</v>
      </c>
      <c r="M2">
        <f>(Table19[[#This Row],[F Variance]])*100</f>
        <v>13</v>
      </c>
      <c r="N2">
        <f>(Table19[[#This Row],[S Variance]])*100</f>
        <v>10</v>
      </c>
      <c r="O2" t="s">
        <v>241</v>
      </c>
      <c r="P2" t="s">
        <v>16</v>
      </c>
    </row>
    <row r="3" spans="1:16" x14ac:dyDescent="0.25">
      <c r="A3" t="s">
        <v>17</v>
      </c>
      <c r="B3" t="s">
        <v>43</v>
      </c>
      <c r="C3" t="s">
        <v>5</v>
      </c>
      <c r="D3" t="s">
        <v>52</v>
      </c>
      <c r="E3" t="s">
        <v>10</v>
      </c>
      <c r="F3" t="s">
        <v>148</v>
      </c>
      <c r="G3" t="s">
        <v>10</v>
      </c>
      <c r="H3" t="s">
        <v>210</v>
      </c>
      <c r="I3" t="s">
        <v>10</v>
      </c>
      <c r="J3" t="s">
        <v>22</v>
      </c>
      <c r="K3" t="s">
        <v>10</v>
      </c>
      <c r="L3">
        <f>(Table19[[#This Row],[G Variance]])*100</f>
        <v>16</v>
      </c>
      <c r="M3">
        <f>(Table19[[#This Row],[F Variance]])*100</f>
        <v>15</v>
      </c>
      <c r="N3">
        <f>(Table19[[#This Row],[S Variance]])*100</f>
        <v>12</v>
      </c>
      <c r="O3" t="s">
        <v>242</v>
      </c>
      <c r="P3" t="s">
        <v>25</v>
      </c>
    </row>
    <row r="4" spans="1:16" x14ac:dyDescent="0.25">
      <c r="A4" t="s">
        <v>26</v>
      </c>
      <c r="B4" t="s">
        <v>73</v>
      </c>
      <c r="C4" t="s">
        <v>5</v>
      </c>
      <c r="D4" t="s">
        <v>107</v>
      </c>
      <c r="E4" t="s">
        <v>10</v>
      </c>
      <c r="F4" t="s">
        <v>35</v>
      </c>
      <c r="G4" t="s">
        <v>10</v>
      </c>
      <c r="H4" t="s">
        <v>196</v>
      </c>
      <c r="I4" t="s">
        <v>10</v>
      </c>
      <c r="J4" t="s">
        <v>14</v>
      </c>
      <c r="K4" t="s">
        <v>10</v>
      </c>
      <c r="L4">
        <f>(Table19[[#This Row],[G Variance]])*100</f>
        <v>27</v>
      </c>
      <c r="M4">
        <f>(Table19[[#This Row],[F Variance]])*100</f>
        <v>14.000000000000002</v>
      </c>
      <c r="N4">
        <f>(Table19[[#This Row],[S Variance]])*100</f>
        <v>8</v>
      </c>
      <c r="O4" t="s">
        <v>243</v>
      </c>
      <c r="P4" t="s">
        <v>32</v>
      </c>
    </row>
    <row r="5" spans="1:16" x14ac:dyDescent="0.25">
      <c r="A5" t="s">
        <v>33</v>
      </c>
      <c r="B5" t="s">
        <v>27</v>
      </c>
      <c r="C5" t="s">
        <v>5</v>
      </c>
      <c r="D5" t="s">
        <v>28</v>
      </c>
      <c r="E5" t="s">
        <v>10</v>
      </c>
      <c r="F5" t="s">
        <v>9</v>
      </c>
      <c r="G5" t="s">
        <v>10</v>
      </c>
      <c r="H5" t="s">
        <v>64</v>
      </c>
      <c r="I5" t="s">
        <v>10</v>
      </c>
      <c r="J5" t="s">
        <v>22</v>
      </c>
      <c r="K5" t="s">
        <v>10</v>
      </c>
      <c r="L5">
        <f>(Table19[[#This Row],[G Variance]])*100</f>
        <v>23</v>
      </c>
      <c r="M5">
        <f>(Table19[[#This Row],[F Variance]])*100</f>
        <v>6</v>
      </c>
      <c r="N5">
        <f>(Table19[[#This Row],[S Variance]])*100</f>
        <v>9</v>
      </c>
      <c r="O5" t="s">
        <v>244</v>
      </c>
      <c r="P5" t="s">
        <v>39</v>
      </c>
    </row>
    <row r="6" spans="1:16" x14ac:dyDescent="0.25">
      <c r="A6" t="s">
        <v>40</v>
      </c>
      <c r="B6" t="s">
        <v>120</v>
      </c>
      <c r="C6" t="s">
        <v>5</v>
      </c>
      <c r="D6" t="s">
        <v>20</v>
      </c>
      <c r="E6" t="s">
        <v>10</v>
      </c>
      <c r="F6" t="s">
        <v>42</v>
      </c>
      <c r="G6" t="s">
        <v>10</v>
      </c>
      <c r="H6" t="s">
        <v>64</v>
      </c>
      <c r="I6" t="s">
        <v>10</v>
      </c>
      <c r="J6" t="s">
        <v>22</v>
      </c>
      <c r="K6" t="s">
        <v>10</v>
      </c>
      <c r="L6">
        <f>(Table19[[#This Row],[G Variance]])*100</f>
        <v>22</v>
      </c>
      <c r="M6">
        <f>(Table19[[#This Row],[F Variance]])*100</f>
        <v>11</v>
      </c>
      <c r="N6">
        <f>(Table19[[#This Row],[S Variance]])*100</f>
        <v>5</v>
      </c>
      <c r="O6" t="s">
        <v>245</v>
      </c>
      <c r="P6" t="s">
        <v>45</v>
      </c>
    </row>
    <row r="7" spans="1:16" x14ac:dyDescent="0.25">
      <c r="A7" t="s">
        <v>46</v>
      </c>
      <c r="B7" t="s">
        <v>36</v>
      </c>
      <c r="C7" t="s">
        <v>5</v>
      </c>
      <c r="D7" t="s">
        <v>57</v>
      </c>
      <c r="E7" t="s">
        <v>10</v>
      </c>
      <c r="F7" t="s">
        <v>28</v>
      </c>
      <c r="G7" t="s">
        <v>10</v>
      </c>
      <c r="H7" t="s">
        <v>97</v>
      </c>
      <c r="I7" t="s">
        <v>5</v>
      </c>
      <c r="J7" t="s">
        <v>22</v>
      </c>
      <c r="K7" t="s">
        <v>10</v>
      </c>
      <c r="L7">
        <f>(Table19[[#This Row],[G Variance]])*100</f>
        <v>17</v>
      </c>
      <c r="M7">
        <f>(Table19[[#This Row],[F Variance]])*100</f>
        <v>7.0000000000000009</v>
      </c>
      <c r="N7">
        <f>(Table19[[#This Row],[S Variance]])*100</f>
        <v>6</v>
      </c>
      <c r="O7" t="s">
        <v>246</v>
      </c>
      <c r="P7" t="s">
        <v>50</v>
      </c>
    </row>
    <row r="8" spans="1:16" x14ac:dyDescent="0.25">
      <c r="A8" t="s">
        <v>51</v>
      </c>
      <c r="B8" t="s">
        <v>107</v>
      </c>
      <c r="C8" t="s">
        <v>5</v>
      </c>
      <c r="D8" t="s">
        <v>57</v>
      </c>
      <c r="E8" t="s">
        <v>10</v>
      </c>
      <c r="F8" t="s">
        <v>8</v>
      </c>
      <c r="G8" t="s">
        <v>10</v>
      </c>
      <c r="H8" t="s">
        <v>121</v>
      </c>
      <c r="I8" t="s">
        <v>5</v>
      </c>
      <c r="J8" t="s">
        <v>22</v>
      </c>
      <c r="K8" t="s">
        <v>10</v>
      </c>
      <c r="L8">
        <f>(Table19[[#This Row],[G Variance]])*100</f>
        <v>14.000000000000002</v>
      </c>
      <c r="M8">
        <f>(Table19[[#This Row],[F Variance]])*100</f>
        <v>7.0000000000000009</v>
      </c>
      <c r="N8">
        <f>(Table19[[#This Row],[S Variance]])*100</f>
        <v>0</v>
      </c>
      <c r="O8" t="s">
        <v>161</v>
      </c>
      <c r="P8" t="s">
        <v>55</v>
      </c>
    </row>
    <row r="9" spans="1:16" x14ac:dyDescent="0.25">
      <c r="A9" t="s">
        <v>56</v>
      </c>
      <c r="B9" t="s">
        <v>18</v>
      </c>
      <c r="C9" t="s">
        <v>5</v>
      </c>
      <c r="D9" t="s">
        <v>9</v>
      </c>
      <c r="E9" t="s">
        <v>10</v>
      </c>
      <c r="F9" t="s">
        <v>8</v>
      </c>
      <c r="G9" t="s">
        <v>10</v>
      </c>
      <c r="H9" t="s">
        <v>121</v>
      </c>
      <c r="I9" t="s">
        <v>5</v>
      </c>
      <c r="J9" t="s">
        <v>22</v>
      </c>
      <c r="K9" t="s">
        <v>10</v>
      </c>
      <c r="L9">
        <f>(Table19[[#This Row],[G Variance]])*100</f>
        <v>13</v>
      </c>
      <c r="M9">
        <f>(Table19[[#This Row],[F Variance]])*100</f>
        <v>9</v>
      </c>
      <c r="N9">
        <f>(Table19[[#This Row],[S Variance]])*100</f>
        <v>0</v>
      </c>
      <c r="O9" t="s">
        <v>162</v>
      </c>
      <c r="P9" t="s">
        <v>60</v>
      </c>
    </row>
    <row r="12" spans="1:16" ht="15" customHeight="1" x14ac:dyDescent="0.25">
      <c r="A12" s="9" t="s">
        <v>360</v>
      </c>
      <c r="B12" s="9"/>
      <c r="C12" s="9"/>
      <c r="D12" s="9"/>
      <c r="E12" s="9"/>
      <c r="F12" s="9"/>
      <c r="G12" s="9"/>
      <c r="H12" s="2"/>
    </row>
    <row r="13" spans="1:16" ht="15" customHeight="1" x14ac:dyDescent="0.25">
      <c r="A13" s="9" t="s">
        <v>362</v>
      </c>
      <c r="B13" s="9"/>
      <c r="C13" s="9"/>
      <c r="D13" s="9"/>
      <c r="E13" s="9"/>
      <c r="F13" s="9"/>
      <c r="G13" s="9"/>
      <c r="H13" s="2"/>
    </row>
    <row r="14" spans="1:16" ht="15" customHeight="1" x14ac:dyDescent="0.25">
      <c r="A14" s="10" t="s">
        <v>363</v>
      </c>
      <c r="B14" s="10"/>
      <c r="C14" s="10"/>
      <c r="D14" s="10"/>
      <c r="E14" s="10"/>
      <c r="F14" s="10"/>
      <c r="G14" s="10"/>
      <c r="H14" s="5"/>
    </row>
    <row r="15" spans="1:16" ht="15" customHeight="1" x14ac:dyDescent="0.25">
      <c r="A15" s="9" t="s">
        <v>359</v>
      </c>
      <c r="B15" s="9"/>
      <c r="C15" s="9"/>
      <c r="D15" s="9"/>
      <c r="E15" s="9"/>
      <c r="F15" s="9"/>
      <c r="G15" s="9"/>
      <c r="H15" s="2"/>
    </row>
    <row r="16" spans="1:16" ht="15" customHeight="1" x14ac:dyDescent="0.25">
      <c r="A16" s="9" t="s">
        <v>358</v>
      </c>
      <c r="B16" s="9"/>
      <c r="C16" s="9"/>
      <c r="D16" s="9"/>
      <c r="E16" s="9"/>
      <c r="F16" s="9"/>
      <c r="G16" s="9"/>
      <c r="H16" s="2"/>
    </row>
  </sheetData>
  <mergeCells count="5">
    <mergeCell ref="A12:G12"/>
    <mergeCell ref="A13:G13"/>
    <mergeCell ref="A14:G14"/>
    <mergeCell ref="A15:G15"/>
    <mergeCell ref="A16:G16"/>
  </mergeCells>
  <pageMargins left="0.7" right="0.7" top="0.75" bottom="0.75" header="0.3" footer="0.3"/>
  <pageSetup paperSize="9" orientation="portrait" horizontalDpi="300" verticalDpi="300"/>
  <headerFooter scaleWithDoc="0" alignWithMargins="0">
    <oddHeader>&amp;L&amp;CResults of variance component analyses using all models on the GS20K&amp;R</oddHeader>
  </headerFooter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I20" sqref="I20"/>
    </sheetView>
  </sheetViews>
  <sheetFormatPr defaultColWidth="8.85546875" defaultRowHeight="15" x14ac:dyDescent="0.25"/>
  <cols>
    <col min="1" max="1" width="25.7109375" customWidth="1"/>
    <col min="2" max="2" width="10.7109375" customWidth="1"/>
    <col min="3" max="3" width="6.7109375" customWidth="1"/>
    <col min="4" max="4" width="10.7109375" customWidth="1"/>
    <col min="5" max="5" width="6.7109375" customWidth="1"/>
    <col min="6" max="6" width="10.7109375" customWidth="1"/>
    <col min="7" max="7" width="6.7109375" customWidth="1"/>
    <col min="8" max="8" width="13.7109375" customWidth="1"/>
    <col min="9" max="9" width="7.7109375" customWidth="1"/>
    <col min="10" max="10" width="11.7109375" customWidth="1"/>
    <col min="11" max="11" width="6.7109375" customWidth="1"/>
    <col min="12" max="14" width="11.7109375" customWidth="1"/>
    <col min="15" max="16" width="8.7109375" customWidth="1"/>
    <col min="17" max="97" width="9.140625" customWidth="1"/>
  </cols>
  <sheetData>
    <row r="1" spans="1:16" x14ac:dyDescent="0.25">
      <c r="A1" t="s">
        <v>0</v>
      </c>
      <c r="B1" t="s">
        <v>339</v>
      </c>
      <c r="C1" t="s">
        <v>340</v>
      </c>
      <c r="D1" t="s">
        <v>341</v>
      </c>
      <c r="E1" t="s">
        <v>342</v>
      </c>
      <c r="F1" t="s">
        <v>347</v>
      </c>
      <c r="G1" t="s">
        <v>348</v>
      </c>
      <c r="H1" t="s">
        <v>349</v>
      </c>
      <c r="I1" t="s">
        <v>350</v>
      </c>
      <c r="J1" t="s">
        <v>351</v>
      </c>
      <c r="K1" t="s">
        <v>352</v>
      </c>
      <c r="L1" t="s">
        <v>353</v>
      </c>
      <c r="M1" t="s">
        <v>354</v>
      </c>
      <c r="N1" t="s">
        <v>357</v>
      </c>
      <c r="O1" t="s">
        <v>1</v>
      </c>
      <c r="P1" t="s">
        <v>2</v>
      </c>
    </row>
    <row r="2" spans="1:16" x14ac:dyDescent="0.25">
      <c r="A2" t="s">
        <v>3</v>
      </c>
      <c r="B2" t="s">
        <v>120</v>
      </c>
      <c r="C2" t="s">
        <v>5</v>
      </c>
      <c r="D2" t="s">
        <v>23</v>
      </c>
      <c r="E2" t="s">
        <v>12</v>
      </c>
      <c r="F2" t="s">
        <v>177</v>
      </c>
      <c r="G2" t="s">
        <v>5</v>
      </c>
      <c r="H2" t="s">
        <v>18</v>
      </c>
      <c r="I2" t="s">
        <v>12</v>
      </c>
      <c r="J2" t="s">
        <v>22</v>
      </c>
      <c r="K2" t="s">
        <v>10</v>
      </c>
      <c r="L2">
        <f>(Table20[[#This Row],[G Variance]])*100</f>
        <v>22</v>
      </c>
      <c r="M2">
        <f>(Table20[[#This Row],[K Variance]])*100</f>
        <v>39</v>
      </c>
      <c r="N2">
        <f>(Table20[[#This Row],[C Variance]])*100</f>
        <v>25</v>
      </c>
      <c r="O2" t="s">
        <v>247</v>
      </c>
      <c r="P2" t="s">
        <v>16</v>
      </c>
    </row>
    <row r="3" spans="1:16" x14ac:dyDescent="0.25">
      <c r="A3" t="s">
        <v>17</v>
      </c>
      <c r="B3" t="s">
        <v>52</v>
      </c>
      <c r="C3" t="s">
        <v>5</v>
      </c>
      <c r="D3" t="s">
        <v>63</v>
      </c>
      <c r="E3" t="s">
        <v>12</v>
      </c>
      <c r="F3" t="s">
        <v>128</v>
      </c>
      <c r="G3" t="s">
        <v>5</v>
      </c>
      <c r="H3" t="s">
        <v>148</v>
      </c>
      <c r="I3" t="s">
        <v>5</v>
      </c>
      <c r="J3" t="s">
        <v>14</v>
      </c>
      <c r="K3" t="s">
        <v>10</v>
      </c>
      <c r="L3">
        <f>(Table20[[#This Row],[G Variance]])*100</f>
        <v>15</v>
      </c>
      <c r="M3">
        <f>(Table20[[#This Row],[K Variance]])*100</f>
        <v>38</v>
      </c>
      <c r="N3">
        <f>(Table20[[#This Row],[C Variance]])*100</f>
        <v>35</v>
      </c>
      <c r="O3" t="s">
        <v>248</v>
      </c>
      <c r="P3" t="s">
        <v>25</v>
      </c>
    </row>
    <row r="4" spans="1:16" x14ac:dyDescent="0.25">
      <c r="A4" t="s">
        <v>26</v>
      </c>
      <c r="B4" t="s">
        <v>177</v>
      </c>
      <c r="C4" t="s">
        <v>5</v>
      </c>
      <c r="D4" t="s">
        <v>114</v>
      </c>
      <c r="E4" t="s">
        <v>12</v>
      </c>
      <c r="F4" t="s">
        <v>29</v>
      </c>
      <c r="G4" t="s">
        <v>5</v>
      </c>
      <c r="H4" t="s">
        <v>35</v>
      </c>
      <c r="I4" t="s">
        <v>5</v>
      </c>
      <c r="J4" t="s">
        <v>14</v>
      </c>
      <c r="K4" t="s">
        <v>10</v>
      </c>
      <c r="L4">
        <f>(Table20[[#This Row],[G Variance]])*100</f>
        <v>25</v>
      </c>
      <c r="M4">
        <f>(Table20[[#This Row],[K Variance]])*100</f>
        <v>37</v>
      </c>
      <c r="N4">
        <f>(Table20[[#This Row],[C Variance]])*100</f>
        <v>30</v>
      </c>
      <c r="O4" t="s">
        <v>249</v>
      </c>
      <c r="P4" t="s">
        <v>32</v>
      </c>
    </row>
    <row r="5" spans="1:16" x14ac:dyDescent="0.25">
      <c r="A5" t="s">
        <v>33</v>
      </c>
      <c r="B5" t="s">
        <v>4</v>
      </c>
      <c r="C5" t="s">
        <v>5</v>
      </c>
      <c r="D5" t="s">
        <v>4</v>
      </c>
      <c r="E5" t="s">
        <v>12</v>
      </c>
      <c r="F5" t="s">
        <v>52</v>
      </c>
      <c r="G5" t="s">
        <v>5</v>
      </c>
      <c r="H5" t="s">
        <v>85</v>
      </c>
      <c r="I5" t="s">
        <v>12</v>
      </c>
      <c r="J5" t="s">
        <v>22</v>
      </c>
      <c r="K5" t="s">
        <v>10</v>
      </c>
      <c r="L5">
        <f>(Table20[[#This Row],[G Variance]])*100</f>
        <v>21</v>
      </c>
      <c r="M5">
        <f>(Table20[[#This Row],[K Variance]])*100</f>
        <v>21</v>
      </c>
      <c r="N5">
        <f>(Table20[[#This Row],[C Variance]])*100</f>
        <v>15</v>
      </c>
      <c r="O5" t="s">
        <v>250</v>
      </c>
      <c r="P5" t="s">
        <v>39</v>
      </c>
    </row>
    <row r="6" spans="1:16" x14ac:dyDescent="0.25">
      <c r="A6" t="s">
        <v>40</v>
      </c>
      <c r="B6" t="s">
        <v>145</v>
      </c>
      <c r="C6" t="s">
        <v>5</v>
      </c>
      <c r="D6" t="s">
        <v>30</v>
      </c>
      <c r="E6" t="s">
        <v>12</v>
      </c>
      <c r="F6" t="s">
        <v>43</v>
      </c>
      <c r="G6" t="s">
        <v>5</v>
      </c>
      <c r="H6" t="s">
        <v>128</v>
      </c>
      <c r="I6" t="s">
        <v>12</v>
      </c>
      <c r="J6" t="s">
        <v>22</v>
      </c>
      <c r="K6" t="s">
        <v>10</v>
      </c>
      <c r="L6">
        <f>(Table20[[#This Row],[G Variance]])*100</f>
        <v>19</v>
      </c>
      <c r="M6">
        <f>(Table20[[#This Row],[K Variance]])*100</f>
        <v>31</v>
      </c>
      <c r="N6">
        <f>(Table20[[#This Row],[C Variance]])*100</f>
        <v>16</v>
      </c>
      <c r="O6" t="s">
        <v>251</v>
      </c>
      <c r="P6" t="s">
        <v>45</v>
      </c>
    </row>
    <row r="7" spans="1:16" x14ac:dyDescent="0.25">
      <c r="A7" t="s">
        <v>46</v>
      </c>
      <c r="B7" t="s">
        <v>148</v>
      </c>
      <c r="C7" t="s">
        <v>5</v>
      </c>
      <c r="D7" t="s">
        <v>177</v>
      </c>
      <c r="E7" t="s">
        <v>12</v>
      </c>
      <c r="F7" t="s">
        <v>42</v>
      </c>
      <c r="G7" t="s">
        <v>5</v>
      </c>
      <c r="H7" t="s">
        <v>210</v>
      </c>
      <c r="I7" t="s">
        <v>12</v>
      </c>
      <c r="J7" t="s">
        <v>22</v>
      </c>
      <c r="K7" t="s">
        <v>10</v>
      </c>
      <c r="L7">
        <f>(Table20[[#This Row],[G Variance]])*100</f>
        <v>12</v>
      </c>
      <c r="M7">
        <f>(Table20[[#This Row],[K Variance]])*100</f>
        <v>25</v>
      </c>
      <c r="N7">
        <f>(Table20[[#This Row],[C Variance]])*100</f>
        <v>5</v>
      </c>
      <c r="O7" t="s">
        <v>252</v>
      </c>
      <c r="P7" t="s">
        <v>50</v>
      </c>
    </row>
    <row r="8" spans="1:16" x14ac:dyDescent="0.25">
      <c r="A8" t="s">
        <v>51</v>
      </c>
      <c r="B8" t="s">
        <v>20</v>
      </c>
      <c r="C8" t="s">
        <v>5</v>
      </c>
      <c r="D8" t="s">
        <v>145</v>
      </c>
      <c r="E8" t="s">
        <v>12</v>
      </c>
      <c r="F8" t="s">
        <v>13</v>
      </c>
      <c r="G8" t="s">
        <v>5</v>
      </c>
      <c r="H8" t="s">
        <v>170</v>
      </c>
      <c r="I8" t="s">
        <v>12</v>
      </c>
      <c r="J8" t="s">
        <v>22</v>
      </c>
      <c r="K8" t="s">
        <v>10</v>
      </c>
      <c r="L8">
        <f>(Table20[[#This Row],[G Variance]])*100</f>
        <v>11</v>
      </c>
      <c r="M8">
        <f>(Table20[[#This Row],[K Variance]])*100</f>
        <v>19</v>
      </c>
      <c r="N8">
        <f>(Table20[[#This Row],[C Variance]])*100</f>
        <v>2</v>
      </c>
      <c r="O8" t="s">
        <v>253</v>
      </c>
      <c r="P8" t="s">
        <v>55</v>
      </c>
    </row>
    <row r="9" spans="1:16" x14ac:dyDescent="0.25">
      <c r="A9" t="s">
        <v>56</v>
      </c>
      <c r="B9" t="s">
        <v>148</v>
      </c>
      <c r="C9" t="s">
        <v>5</v>
      </c>
      <c r="D9" t="s">
        <v>145</v>
      </c>
      <c r="E9" t="s">
        <v>12</v>
      </c>
      <c r="F9" t="s">
        <v>57</v>
      </c>
      <c r="G9" t="s">
        <v>5</v>
      </c>
      <c r="H9" t="s">
        <v>112</v>
      </c>
      <c r="I9" t="s">
        <v>12</v>
      </c>
      <c r="J9" t="s">
        <v>22</v>
      </c>
      <c r="K9" t="s">
        <v>10</v>
      </c>
      <c r="L9">
        <f>(Table20[[#This Row],[G Variance]])*100</f>
        <v>12</v>
      </c>
      <c r="M9">
        <f>(Table20[[#This Row],[K Variance]])*100</f>
        <v>19</v>
      </c>
      <c r="N9">
        <f>(Table20[[#This Row],[C Variance]])*100</f>
        <v>7.0000000000000009</v>
      </c>
      <c r="O9" t="s">
        <v>254</v>
      </c>
      <c r="P9" t="s">
        <v>60</v>
      </c>
    </row>
    <row r="12" spans="1:16" ht="15" customHeight="1" x14ac:dyDescent="0.25">
      <c r="A12" s="11" t="s">
        <v>360</v>
      </c>
      <c r="B12" s="11"/>
      <c r="C12" s="11"/>
      <c r="D12" s="11"/>
      <c r="E12" s="11"/>
      <c r="F12" s="11"/>
      <c r="G12" s="11"/>
    </row>
    <row r="13" spans="1:16" ht="15" customHeight="1" x14ac:dyDescent="0.25">
      <c r="A13" s="11" t="s">
        <v>361</v>
      </c>
      <c r="B13" s="11"/>
      <c r="C13" s="11"/>
      <c r="D13" s="11"/>
      <c r="E13" s="11"/>
      <c r="F13" s="11"/>
      <c r="G13" s="11"/>
      <c r="H13" s="4"/>
    </row>
    <row r="14" spans="1:16" x14ac:dyDescent="0.25">
      <c r="A14" s="11" t="s">
        <v>364</v>
      </c>
      <c r="B14" s="11"/>
      <c r="C14" s="11"/>
      <c r="D14" s="11"/>
      <c r="E14" s="11"/>
      <c r="F14" s="11"/>
      <c r="G14" s="11"/>
    </row>
    <row r="15" spans="1:16" ht="15" customHeight="1" x14ac:dyDescent="0.25">
      <c r="A15" s="9" t="s">
        <v>359</v>
      </c>
      <c r="B15" s="9"/>
      <c r="C15" s="9"/>
      <c r="D15" s="9"/>
      <c r="E15" s="9"/>
      <c r="F15" s="9"/>
      <c r="G15" s="9"/>
    </row>
    <row r="16" spans="1:16" ht="15" customHeight="1" x14ac:dyDescent="0.25">
      <c r="A16" s="9" t="s">
        <v>358</v>
      </c>
      <c r="B16" s="9"/>
      <c r="C16" s="9"/>
      <c r="D16" s="9"/>
      <c r="E16" s="9"/>
      <c r="F16" s="9"/>
      <c r="G16" s="9"/>
    </row>
  </sheetData>
  <mergeCells count="5">
    <mergeCell ref="A14:G14"/>
    <mergeCell ref="A15:G15"/>
    <mergeCell ref="A16:G16"/>
    <mergeCell ref="A12:G12"/>
    <mergeCell ref="A13:G13"/>
  </mergeCells>
  <pageMargins left="0.7" right="0.7" top="0.75" bottom="0.75" header="0.3" footer="0.3"/>
  <pageSetup paperSize="9" orientation="portrait" horizontalDpi="300" verticalDpi="300"/>
  <headerFooter scaleWithDoc="0" alignWithMargins="0">
    <oddHeader>&amp;L&amp;CResults of variance component analyses using all models on the GS20K&amp;R</oddHeader>
  </headerFooter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F9" sqref="F9"/>
    </sheetView>
  </sheetViews>
  <sheetFormatPr defaultColWidth="8.85546875" defaultRowHeight="15" x14ac:dyDescent="0.25"/>
  <cols>
    <col min="1" max="1" width="25.7109375" customWidth="1"/>
    <col min="2" max="2" width="10.7109375" customWidth="1"/>
    <col min="3" max="3" width="6.7109375" customWidth="1"/>
    <col min="4" max="4" width="10.7109375" customWidth="1"/>
    <col min="5" max="5" width="6.7109375" customWidth="1"/>
    <col min="6" max="6" width="10.7109375" customWidth="1"/>
    <col min="7" max="7" width="6.7109375" customWidth="1"/>
    <col min="8" max="8" width="13.7109375" customWidth="1"/>
    <col min="9" max="9" width="7.7109375" customWidth="1"/>
    <col min="10" max="10" width="11.7109375" customWidth="1"/>
    <col min="11" max="11" width="6.7109375" customWidth="1"/>
    <col min="12" max="14" width="11.7109375" customWidth="1"/>
    <col min="15" max="16" width="8.7109375" customWidth="1"/>
    <col min="17" max="97" width="9.140625" customWidth="1"/>
  </cols>
  <sheetData>
    <row r="1" spans="1:16" x14ac:dyDescent="0.25">
      <c r="A1" t="s">
        <v>0</v>
      </c>
      <c r="B1" t="s">
        <v>339</v>
      </c>
      <c r="C1" t="s">
        <v>340</v>
      </c>
      <c r="D1" t="s">
        <v>341</v>
      </c>
      <c r="E1" t="s">
        <v>342</v>
      </c>
      <c r="F1" t="s">
        <v>343</v>
      </c>
      <c r="G1" t="s">
        <v>344</v>
      </c>
      <c r="H1" t="s">
        <v>349</v>
      </c>
      <c r="I1" t="s">
        <v>350</v>
      </c>
      <c r="J1" t="s">
        <v>351</v>
      </c>
      <c r="K1" t="s">
        <v>352</v>
      </c>
      <c r="L1" t="s">
        <v>353</v>
      </c>
      <c r="M1" t="s">
        <v>354</v>
      </c>
      <c r="N1" t="s">
        <v>355</v>
      </c>
      <c r="O1" t="s">
        <v>1</v>
      </c>
      <c r="P1" t="s">
        <v>2</v>
      </c>
    </row>
    <row r="2" spans="1:16" x14ac:dyDescent="0.25">
      <c r="A2" t="s">
        <v>3</v>
      </c>
      <c r="B2" t="s">
        <v>27</v>
      </c>
      <c r="C2" t="s">
        <v>5</v>
      </c>
      <c r="D2" t="s">
        <v>9</v>
      </c>
      <c r="E2" t="s">
        <v>193</v>
      </c>
      <c r="F2" t="s">
        <v>107</v>
      </c>
      <c r="G2" t="s">
        <v>5</v>
      </c>
      <c r="H2" t="s">
        <v>146</v>
      </c>
      <c r="I2" t="s">
        <v>5</v>
      </c>
      <c r="J2" t="s">
        <v>14</v>
      </c>
      <c r="K2" t="s">
        <v>10</v>
      </c>
      <c r="L2">
        <f>(Table21[[#This Row],[G Variance]])*100</f>
        <v>23</v>
      </c>
      <c r="M2">
        <f>(Table21[[#This Row],[K Variance]])*100</f>
        <v>9</v>
      </c>
      <c r="N2">
        <f>(Table21[[#This Row],[F Variance]])*100</f>
        <v>14.000000000000002</v>
      </c>
      <c r="O2" t="s">
        <v>255</v>
      </c>
      <c r="P2" t="s">
        <v>16</v>
      </c>
    </row>
    <row r="3" spans="1:16" x14ac:dyDescent="0.25">
      <c r="A3" t="s">
        <v>17</v>
      </c>
      <c r="B3" t="s">
        <v>52</v>
      </c>
      <c r="C3" t="s">
        <v>5</v>
      </c>
      <c r="D3" t="s">
        <v>8</v>
      </c>
      <c r="E3" t="s">
        <v>193</v>
      </c>
      <c r="F3" t="s">
        <v>34</v>
      </c>
      <c r="G3" t="s">
        <v>5</v>
      </c>
      <c r="H3" t="s">
        <v>129</v>
      </c>
      <c r="I3" t="s">
        <v>5</v>
      </c>
      <c r="J3" t="s">
        <v>22</v>
      </c>
      <c r="K3" t="s">
        <v>10</v>
      </c>
      <c r="L3">
        <f>(Table21[[#This Row],[G Variance]])*100</f>
        <v>15</v>
      </c>
      <c r="M3">
        <f>(Table21[[#This Row],[K Variance]])*100</f>
        <v>0</v>
      </c>
      <c r="N3">
        <f>(Table21[[#This Row],[F Variance]])*100</f>
        <v>20</v>
      </c>
      <c r="O3" t="s">
        <v>256</v>
      </c>
      <c r="P3" t="s">
        <v>25</v>
      </c>
    </row>
    <row r="4" spans="1:16" x14ac:dyDescent="0.25">
      <c r="A4" t="s">
        <v>26</v>
      </c>
      <c r="B4" t="s">
        <v>73</v>
      </c>
      <c r="C4" t="s">
        <v>5</v>
      </c>
      <c r="D4" t="s">
        <v>183</v>
      </c>
      <c r="E4" t="s">
        <v>193</v>
      </c>
      <c r="F4" t="s">
        <v>36</v>
      </c>
      <c r="G4" t="s">
        <v>5</v>
      </c>
      <c r="H4" t="s">
        <v>48</v>
      </c>
      <c r="I4" t="s">
        <v>5</v>
      </c>
      <c r="J4" t="s">
        <v>14</v>
      </c>
      <c r="K4" t="s">
        <v>10</v>
      </c>
      <c r="L4">
        <f>(Table21[[#This Row],[G Variance]])*100</f>
        <v>27</v>
      </c>
      <c r="M4">
        <f>(Table21[[#This Row],[K Variance]])*100</f>
        <v>1</v>
      </c>
      <c r="N4">
        <f>(Table21[[#This Row],[F Variance]])*100</f>
        <v>17</v>
      </c>
      <c r="O4" t="s">
        <v>257</v>
      </c>
      <c r="P4" t="s">
        <v>32</v>
      </c>
    </row>
    <row r="5" spans="1:16" x14ac:dyDescent="0.25">
      <c r="A5" t="s">
        <v>33</v>
      </c>
      <c r="B5" t="s">
        <v>120</v>
      </c>
      <c r="C5" t="s">
        <v>5</v>
      </c>
      <c r="D5" t="s">
        <v>57</v>
      </c>
      <c r="E5" t="s">
        <v>193</v>
      </c>
      <c r="F5" t="s">
        <v>57</v>
      </c>
      <c r="G5" t="s">
        <v>5</v>
      </c>
      <c r="H5" t="s">
        <v>91</v>
      </c>
      <c r="I5" t="s">
        <v>5</v>
      </c>
      <c r="J5" t="s">
        <v>22</v>
      </c>
      <c r="K5" t="s">
        <v>10</v>
      </c>
      <c r="L5">
        <f>(Table21[[#This Row],[G Variance]])*100</f>
        <v>22</v>
      </c>
      <c r="M5">
        <f>(Table21[[#This Row],[K Variance]])*100</f>
        <v>7.0000000000000009</v>
      </c>
      <c r="N5">
        <f>(Table21[[#This Row],[F Variance]])*100</f>
        <v>7.0000000000000009</v>
      </c>
      <c r="O5" t="s">
        <v>258</v>
      </c>
      <c r="P5" t="s">
        <v>39</v>
      </c>
    </row>
    <row r="6" spans="1:16" x14ac:dyDescent="0.25">
      <c r="A6" t="s">
        <v>40</v>
      </c>
      <c r="B6" t="s">
        <v>145</v>
      </c>
      <c r="C6" t="s">
        <v>5</v>
      </c>
      <c r="D6" t="s">
        <v>148</v>
      </c>
      <c r="E6" t="s">
        <v>193</v>
      </c>
      <c r="F6" t="s">
        <v>9</v>
      </c>
      <c r="G6" t="s">
        <v>5</v>
      </c>
      <c r="H6" t="s">
        <v>126</v>
      </c>
      <c r="I6" t="s">
        <v>5</v>
      </c>
      <c r="J6" t="s">
        <v>22</v>
      </c>
      <c r="K6" t="s">
        <v>10</v>
      </c>
      <c r="L6">
        <f>(Table21[[#This Row],[G Variance]])*100</f>
        <v>19</v>
      </c>
      <c r="M6">
        <f>(Table21[[#This Row],[K Variance]])*100</f>
        <v>12</v>
      </c>
      <c r="N6">
        <f>(Table21[[#This Row],[F Variance]])*100</f>
        <v>9</v>
      </c>
      <c r="O6" t="s">
        <v>259</v>
      </c>
      <c r="P6" t="s">
        <v>45</v>
      </c>
    </row>
    <row r="7" spans="1:16" x14ac:dyDescent="0.25">
      <c r="A7" t="s">
        <v>46</v>
      </c>
      <c r="B7" t="s">
        <v>148</v>
      </c>
      <c r="C7" t="s">
        <v>5</v>
      </c>
      <c r="D7" t="s">
        <v>145</v>
      </c>
      <c r="E7" t="s">
        <v>193</v>
      </c>
      <c r="F7" t="s">
        <v>136</v>
      </c>
      <c r="G7" t="s">
        <v>5</v>
      </c>
      <c r="H7" t="s">
        <v>70</v>
      </c>
      <c r="I7" t="s">
        <v>5</v>
      </c>
      <c r="J7" t="s">
        <v>22</v>
      </c>
      <c r="K7" t="s">
        <v>10</v>
      </c>
      <c r="L7">
        <f>(Table21[[#This Row],[G Variance]])*100</f>
        <v>12</v>
      </c>
      <c r="M7">
        <f>(Table21[[#This Row],[K Variance]])*100</f>
        <v>19</v>
      </c>
      <c r="N7">
        <f>(Table21[[#This Row],[F Variance]])*100</f>
        <v>3</v>
      </c>
      <c r="O7" t="s">
        <v>260</v>
      </c>
      <c r="P7" t="s">
        <v>50</v>
      </c>
    </row>
    <row r="8" spans="1:16" x14ac:dyDescent="0.25">
      <c r="A8" t="s">
        <v>51</v>
      </c>
      <c r="B8" t="s">
        <v>20</v>
      </c>
      <c r="C8" t="s">
        <v>5</v>
      </c>
      <c r="D8" t="s">
        <v>52</v>
      </c>
      <c r="E8" t="s">
        <v>193</v>
      </c>
      <c r="F8" t="s">
        <v>13</v>
      </c>
      <c r="G8" t="s">
        <v>5</v>
      </c>
      <c r="H8" t="s">
        <v>53</v>
      </c>
      <c r="I8" t="s">
        <v>5</v>
      </c>
      <c r="J8" t="s">
        <v>22</v>
      </c>
      <c r="K8" t="s">
        <v>10</v>
      </c>
      <c r="L8">
        <f>(Table21[[#This Row],[G Variance]])*100</f>
        <v>11</v>
      </c>
      <c r="M8">
        <f>(Table21[[#This Row],[K Variance]])*100</f>
        <v>15</v>
      </c>
      <c r="N8">
        <f>(Table21[[#This Row],[F Variance]])*100</f>
        <v>2</v>
      </c>
      <c r="O8" t="s">
        <v>261</v>
      </c>
      <c r="P8" t="s">
        <v>55</v>
      </c>
    </row>
    <row r="9" spans="1:16" x14ac:dyDescent="0.25">
      <c r="A9" t="s">
        <v>56</v>
      </c>
      <c r="B9" t="s">
        <v>148</v>
      </c>
      <c r="C9" t="s">
        <v>5</v>
      </c>
      <c r="D9" t="s">
        <v>28</v>
      </c>
      <c r="E9" t="s">
        <v>193</v>
      </c>
      <c r="F9" t="s">
        <v>57</v>
      </c>
      <c r="G9" t="s">
        <v>5</v>
      </c>
      <c r="H9" t="s">
        <v>58</v>
      </c>
      <c r="I9" t="s">
        <v>5</v>
      </c>
      <c r="J9" t="s">
        <v>22</v>
      </c>
      <c r="K9" t="s">
        <v>10</v>
      </c>
      <c r="L9">
        <f>(Table21[[#This Row],[G Variance]])*100</f>
        <v>12</v>
      </c>
      <c r="M9">
        <f>(Table21[[#This Row],[K Variance]])*100</f>
        <v>6</v>
      </c>
      <c r="N9">
        <f>(Table21[[#This Row],[F Variance]])*100</f>
        <v>7.0000000000000009</v>
      </c>
      <c r="O9" t="s">
        <v>262</v>
      </c>
      <c r="P9" t="s">
        <v>60</v>
      </c>
    </row>
    <row r="12" spans="1:16" ht="15" customHeight="1" x14ac:dyDescent="0.25">
      <c r="A12" s="11" t="s">
        <v>360</v>
      </c>
      <c r="B12" s="11"/>
      <c r="C12" s="11"/>
      <c r="D12" s="11"/>
      <c r="E12" s="11"/>
      <c r="F12" s="11"/>
      <c r="G12" s="11"/>
    </row>
    <row r="13" spans="1:16" ht="15" customHeight="1" x14ac:dyDescent="0.25">
      <c r="A13" s="9" t="s">
        <v>361</v>
      </c>
      <c r="B13" s="9"/>
      <c r="C13" s="9"/>
      <c r="D13" s="9"/>
      <c r="E13" s="9"/>
      <c r="F13" s="9"/>
      <c r="G13" s="9"/>
    </row>
    <row r="14" spans="1:16" ht="15" customHeight="1" x14ac:dyDescent="0.25">
      <c r="A14" s="9" t="s">
        <v>362</v>
      </c>
      <c r="B14" s="9"/>
      <c r="C14" s="9"/>
      <c r="D14" s="9"/>
      <c r="E14" s="9"/>
      <c r="F14" s="9"/>
      <c r="G14" s="9"/>
    </row>
    <row r="15" spans="1:16" ht="15" customHeight="1" x14ac:dyDescent="0.25">
      <c r="A15" s="9" t="s">
        <v>359</v>
      </c>
      <c r="B15" s="9"/>
      <c r="C15" s="9"/>
      <c r="D15" s="9"/>
      <c r="E15" s="9"/>
      <c r="F15" s="9"/>
      <c r="G15" s="9"/>
    </row>
    <row r="16" spans="1:16" ht="15" customHeight="1" x14ac:dyDescent="0.25">
      <c r="A16" s="9" t="s">
        <v>358</v>
      </c>
      <c r="B16" s="9"/>
      <c r="C16" s="9"/>
      <c r="D16" s="9"/>
      <c r="E16" s="9"/>
      <c r="F16" s="9"/>
      <c r="G16" s="9"/>
    </row>
  </sheetData>
  <mergeCells count="5">
    <mergeCell ref="A16:G16"/>
    <mergeCell ref="A12:G12"/>
    <mergeCell ref="A13:G13"/>
    <mergeCell ref="A14:G14"/>
    <mergeCell ref="A15:G15"/>
  </mergeCells>
  <pageMargins left="0.7" right="0.7" top="0.75" bottom="0.75" header="0.3" footer="0.3"/>
  <pageSetup paperSize="9" orientation="portrait" horizontalDpi="300" verticalDpi="300"/>
  <headerFooter scaleWithDoc="0" alignWithMargins="0">
    <oddHeader>&amp;L&amp;CResults of variance component analyses using all models on the GS20K&amp;R</oddHead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F19" sqref="F19"/>
    </sheetView>
  </sheetViews>
  <sheetFormatPr defaultColWidth="8.85546875" defaultRowHeight="15" x14ac:dyDescent="0.25"/>
  <cols>
    <col min="1" max="1" width="25.7109375" customWidth="1"/>
    <col min="2" max="2" width="10.7109375" customWidth="1"/>
    <col min="3" max="3" width="6.7109375" customWidth="1"/>
    <col min="4" max="4" width="13.7109375" customWidth="1"/>
    <col min="5" max="5" width="7.7109375" customWidth="1"/>
    <col min="6" max="6" width="11.7109375" customWidth="1"/>
    <col min="7" max="7" width="6.7109375" customWidth="1"/>
    <col min="8" max="8" width="11.7109375" customWidth="1"/>
    <col min="9" max="10" width="8.7109375" customWidth="1"/>
    <col min="11" max="99" width="9.140625" customWidth="1"/>
  </cols>
  <sheetData>
    <row r="1" spans="1:10" x14ac:dyDescent="0.25">
      <c r="A1" t="s">
        <v>0</v>
      </c>
      <c r="B1" t="s">
        <v>339</v>
      </c>
      <c r="C1" t="s">
        <v>340</v>
      </c>
      <c r="D1" t="s">
        <v>349</v>
      </c>
      <c r="E1" t="s">
        <v>350</v>
      </c>
      <c r="F1" t="s">
        <v>351</v>
      </c>
      <c r="G1" t="s">
        <v>352</v>
      </c>
      <c r="H1" t="s">
        <v>353</v>
      </c>
      <c r="I1" t="s">
        <v>1</v>
      </c>
      <c r="J1" t="s">
        <v>2</v>
      </c>
    </row>
    <row r="2" spans="1:10" x14ac:dyDescent="0.25">
      <c r="A2" t="s">
        <v>3</v>
      </c>
      <c r="B2" t="s">
        <v>61</v>
      </c>
      <c r="C2" t="s">
        <v>5</v>
      </c>
      <c r="D2" t="s">
        <v>48</v>
      </c>
      <c r="E2" t="s">
        <v>10</v>
      </c>
      <c r="F2" t="s">
        <v>22</v>
      </c>
      <c r="G2" t="s">
        <v>10</v>
      </c>
      <c r="H2">
        <f>(Table4[[#This Row],[G Variance]])*100</f>
        <v>46</v>
      </c>
      <c r="I2" t="s">
        <v>62</v>
      </c>
      <c r="J2" t="s">
        <v>16</v>
      </c>
    </row>
    <row r="3" spans="1:10" x14ac:dyDescent="0.25">
      <c r="A3" t="s">
        <v>17</v>
      </c>
      <c r="B3" t="s">
        <v>63</v>
      </c>
      <c r="C3" t="s">
        <v>5</v>
      </c>
      <c r="D3" t="s">
        <v>64</v>
      </c>
      <c r="E3" t="s">
        <v>10</v>
      </c>
      <c r="F3" t="s">
        <v>22</v>
      </c>
      <c r="G3" t="s">
        <v>10</v>
      </c>
      <c r="H3">
        <f>(Table4[[#This Row],[G Variance]])*100</f>
        <v>38</v>
      </c>
      <c r="I3" t="s">
        <v>65</v>
      </c>
      <c r="J3" t="s">
        <v>25</v>
      </c>
    </row>
    <row r="4" spans="1:10" x14ac:dyDescent="0.25">
      <c r="A4" t="s">
        <v>26</v>
      </c>
      <c r="B4" t="s">
        <v>66</v>
      </c>
      <c r="C4" t="s">
        <v>5</v>
      </c>
      <c r="D4" t="s">
        <v>67</v>
      </c>
      <c r="E4" t="s">
        <v>10</v>
      </c>
      <c r="F4" t="s">
        <v>14</v>
      </c>
      <c r="G4" t="s">
        <v>10</v>
      </c>
      <c r="H4">
        <f>(Table4[[#This Row],[G Variance]])*100</f>
        <v>47</v>
      </c>
      <c r="I4" t="s">
        <v>68</v>
      </c>
      <c r="J4" t="s">
        <v>32</v>
      </c>
    </row>
    <row r="5" spans="1:10" x14ac:dyDescent="0.25">
      <c r="A5" t="s">
        <v>33</v>
      </c>
      <c r="B5" t="s">
        <v>69</v>
      </c>
      <c r="C5" t="s">
        <v>10</v>
      </c>
      <c r="D5" t="s">
        <v>70</v>
      </c>
      <c r="E5" t="s">
        <v>10</v>
      </c>
      <c r="F5" t="s">
        <v>22</v>
      </c>
      <c r="G5" t="s">
        <v>10</v>
      </c>
      <c r="H5">
        <f>(Table4[[#This Row],[G Variance]])*100</f>
        <v>34</v>
      </c>
      <c r="I5" t="s">
        <v>71</v>
      </c>
      <c r="J5" t="s">
        <v>39</v>
      </c>
    </row>
    <row r="6" spans="1:10" x14ac:dyDescent="0.25">
      <c r="A6" t="s">
        <v>40</v>
      </c>
      <c r="B6" t="s">
        <v>63</v>
      </c>
      <c r="C6" t="s">
        <v>5</v>
      </c>
      <c r="D6" t="s">
        <v>64</v>
      </c>
      <c r="E6" t="s">
        <v>10</v>
      </c>
      <c r="F6" t="s">
        <v>22</v>
      </c>
      <c r="G6" t="s">
        <v>10</v>
      </c>
      <c r="H6">
        <f>(Table4[[#This Row],[G Variance]])*100</f>
        <v>38</v>
      </c>
      <c r="I6" t="s">
        <v>72</v>
      </c>
      <c r="J6" t="s">
        <v>45</v>
      </c>
    </row>
    <row r="7" spans="1:10" x14ac:dyDescent="0.25">
      <c r="A7" t="s">
        <v>46</v>
      </c>
      <c r="B7" t="s">
        <v>73</v>
      </c>
      <c r="C7" t="s">
        <v>10</v>
      </c>
      <c r="D7" t="s">
        <v>74</v>
      </c>
      <c r="E7" t="s">
        <v>10</v>
      </c>
      <c r="F7" t="s">
        <v>22</v>
      </c>
      <c r="G7" t="s">
        <v>10</v>
      </c>
      <c r="H7">
        <f>(Table4[[#This Row],[G Variance]])*100</f>
        <v>27</v>
      </c>
      <c r="I7" t="s">
        <v>75</v>
      </c>
      <c r="J7" t="s">
        <v>50</v>
      </c>
    </row>
    <row r="8" spans="1:10" x14ac:dyDescent="0.25">
      <c r="A8" t="s">
        <v>51</v>
      </c>
      <c r="B8" t="s">
        <v>27</v>
      </c>
      <c r="C8" t="s">
        <v>10</v>
      </c>
      <c r="D8" t="s">
        <v>76</v>
      </c>
      <c r="E8" t="s">
        <v>10</v>
      </c>
      <c r="F8" t="s">
        <v>22</v>
      </c>
      <c r="G8" t="s">
        <v>10</v>
      </c>
      <c r="H8">
        <f>(Table4[[#This Row],[G Variance]])*100</f>
        <v>23</v>
      </c>
      <c r="I8" t="s">
        <v>77</v>
      </c>
      <c r="J8" t="s">
        <v>55</v>
      </c>
    </row>
    <row r="9" spans="1:10" x14ac:dyDescent="0.25">
      <c r="A9" t="s">
        <v>56</v>
      </c>
      <c r="B9" t="s">
        <v>27</v>
      </c>
      <c r="C9" t="s">
        <v>10</v>
      </c>
      <c r="D9" t="s">
        <v>76</v>
      </c>
      <c r="E9" t="s">
        <v>10</v>
      </c>
      <c r="F9" t="s">
        <v>22</v>
      </c>
      <c r="G9" t="s">
        <v>10</v>
      </c>
      <c r="H9">
        <f>(Table4[[#This Row],[G Variance]])*100</f>
        <v>23</v>
      </c>
      <c r="I9" t="s">
        <v>78</v>
      </c>
      <c r="J9" t="s">
        <v>60</v>
      </c>
    </row>
    <row r="11" spans="1:10" x14ac:dyDescent="0.25">
      <c r="A11" s="3"/>
      <c r="B11" s="3"/>
      <c r="C11" s="3"/>
      <c r="D11" s="3"/>
      <c r="E11" s="3"/>
      <c r="F11" s="3"/>
      <c r="G11" s="3"/>
      <c r="H11" s="3"/>
    </row>
    <row r="12" spans="1:10" ht="15" customHeight="1" x14ac:dyDescent="0.25">
      <c r="A12" s="9" t="s">
        <v>360</v>
      </c>
      <c r="B12" s="9"/>
      <c r="C12" s="9"/>
      <c r="D12" s="9"/>
      <c r="E12" s="9"/>
      <c r="F12" s="9"/>
      <c r="G12" s="9"/>
    </row>
    <row r="13" spans="1:10" x14ac:dyDescent="0.25">
      <c r="A13" s="9" t="s">
        <v>359</v>
      </c>
      <c r="B13" s="9"/>
      <c r="C13" s="9"/>
      <c r="D13" s="9"/>
      <c r="E13" s="9"/>
      <c r="F13" s="9"/>
      <c r="G13" s="9"/>
    </row>
    <row r="14" spans="1:10" x14ac:dyDescent="0.25">
      <c r="A14" s="9" t="s">
        <v>358</v>
      </c>
      <c r="B14" s="9"/>
      <c r="C14" s="9"/>
      <c r="D14" s="9"/>
      <c r="E14" s="9"/>
      <c r="F14" s="9"/>
      <c r="G14" s="9"/>
    </row>
  </sheetData>
  <mergeCells count="3">
    <mergeCell ref="A12:G12"/>
    <mergeCell ref="A13:G13"/>
    <mergeCell ref="A14:G14"/>
  </mergeCells>
  <pageMargins left="0.7" right="0.7" top="0.75" bottom="0.75" header="0.3" footer="0.3"/>
  <pageSetup paperSize="9" orientation="portrait" horizontalDpi="300" verticalDpi="300" r:id="rId1"/>
  <headerFooter scaleWithDoc="0" alignWithMargins="0">
    <oddHeader>&amp;L&amp;CResults of variance component analyses using all models on the GS20K&amp;R</oddHead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A12" sqref="A12:G16"/>
    </sheetView>
  </sheetViews>
  <sheetFormatPr defaultColWidth="8.85546875" defaultRowHeight="15" x14ac:dyDescent="0.25"/>
  <cols>
    <col min="1" max="1" width="25.7109375" customWidth="1"/>
    <col min="2" max="2" width="10.7109375" customWidth="1"/>
    <col min="3" max="3" width="6.7109375" customWidth="1"/>
    <col min="4" max="4" width="10.7109375" customWidth="1"/>
    <col min="5" max="5" width="6.7109375" customWidth="1"/>
    <col min="6" max="6" width="10.7109375" customWidth="1"/>
    <col min="7" max="7" width="6.7109375" customWidth="1"/>
    <col min="8" max="8" width="13.7109375" customWidth="1"/>
    <col min="9" max="9" width="7.7109375" customWidth="1"/>
    <col min="10" max="10" width="11.7109375" customWidth="1"/>
    <col min="11" max="11" width="6.7109375" customWidth="1"/>
    <col min="12" max="14" width="11.7109375" customWidth="1"/>
    <col min="15" max="16" width="8.7109375" customWidth="1"/>
    <col min="17" max="97" width="9.140625" customWidth="1"/>
  </cols>
  <sheetData>
    <row r="1" spans="1:16" x14ac:dyDescent="0.25">
      <c r="A1" t="s">
        <v>0</v>
      </c>
      <c r="B1" t="s">
        <v>339</v>
      </c>
      <c r="C1" t="s">
        <v>340</v>
      </c>
      <c r="D1" t="s">
        <v>341</v>
      </c>
      <c r="E1" t="s">
        <v>342</v>
      </c>
      <c r="F1" t="s">
        <v>345</v>
      </c>
      <c r="G1" t="s">
        <v>346</v>
      </c>
      <c r="H1" t="s">
        <v>349</v>
      </c>
      <c r="I1" t="s">
        <v>350</v>
      </c>
      <c r="J1" t="s">
        <v>351</v>
      </c>
      <c r="K1" t="s">
        <v>352</v>
      </c>
      <c r="L1" t="s">
        <v>353</v>
      </c>
      <c r="M1" t="s">
        <v>354</v>
      </c>
      <c r="N1" t="s">
        <v>356</v>
      </c>
      <c r="O1" t="s">
        <v>1</v>
      </c>
      <c r="P1" t="s">
        <v>2</v>
      </c>
    </row>
    <row r="2" spans="1:16" x14ac:dyDescent="0.25">
      <c r="A2" t="s">
        <v>3</v>
      </c>
      <c r="B2" t="s">
        <v>47</v>
      </c>
      <c r="C2" t="s">
        <v>5</v>
      </c>
      <c r="D2" t="s">
        <v>177</v>
      </c>
      <c r="E2" t="s">
        <v>12</v>
      </c>
      <c r="F2" t="s">
        <v>148</v>
      </c>
      <c r="G2" t="s">
        <v>10</v>
      </c>
      <c r="H2" t="s">
        <v>23</v>
      </c>
      <c r="I2" t="s">
        <v>10</v>
      </c>
      <c r="J2" t="s">
        <v>22</v>
      </c>
      <c r="K2" t="s">
        <v>10</v>
      </c>
      <c r="L2">
        <f>(Table22[[#This Row],[G Variance]])*100</f>
        <v>24</v>
      </c>
      <c r="M2">
        <f>(Table22[[#This Row],[K Variance]])*100</f>
        <v>25</v>
      </c>
      <c r="N2">
        <f>(Table22[[#This Row],[S Variance]])*100</f>
        <v>12</v>
      </c>
      <c r="O2" t="s">
        <v>263</v>
      </c>
      <c r="P2" t="s">
        <v>16</v>
      </c>
    </row>
    <row r="3" spans="1:16" x14ac:dyDescent="0.25">
      <c r="A3" t="s">
        <v>17</v>
      </c>
      <c r="B3" t="s">
        <v>41</v>
      </c>
      <c r="C3" t="s">
        <v>5</v>
      </c>
      <c r="D3" t="s">
        <v>4</v>
      </c>
      <c r="E3" t="s">
        <v>12</v>
      </c>
      <c r="F3" t="s">
        <v>43</v>
      </c>
      <c r="G3" t="s">
        <v>10</v>
      </c>
      <c r="H3" t="s">
        <v>61</v>
      </c>
      <c r="I3" t="s">
        <v>5</v>
      </c>
      <c r="J3" t="s">
        <v>22</v>
      </c>
      <c r="K3" t="s">
        <v>10</v>
      </c>
      <c r="L3">
        <f>(Table22[[#This Row],[G Variance]])*100</f>
        <v>18</v>
      </c>
      <c r="M3">
        <f>(Table22[[#This Row],[K Variance]])*100</f>
        <v>21</v>
      </c>
      <c r="N3">
        <f>(Table22[[#This Row],[S Variance]])*100</f>
        <v>16</v>
      </c>
      <c r="O3" t="s">
        <v>264</v>
      </c>
      <c r="P3" t="s">
        <v>25</v>
      </c>
    </row>
    <row r="4" spans="1:16" x14ac:dyDescent="0.25">
      <c r="A4" t="s">
        <v>26</v>
      </c>
      <c r="B4" t="s">
        <v>73</v>
      </c>
      <c r="C4" t="s">
        <v>5</v>
      </c>
      <c r="D4" t="s">
        <v>27</v>
      </c>
      <c r="E4" t="s">
        <v>12</v>
      </c>
      <c r="F4" t="s">
        <v>148</v>
      </c>
      <c r="G4" t="s">
        <v>10</v>
      </c>
      <c r="H4" t="s">
        <v>63</v>
      </c>
      <c r="I4" t="s">
        <v>10</v>
      </c>
      <c r="J4" t="s">
        <v>14</v>
      </c>
      <c r="K4" t="s">
        <v>10</v>
      </c>
      <c r="L4">
        <f>(Table22[[#This Row],[G Variance]])*100</f>
        <v>27</v>
      </c>
      <c r="M4">
        <f>(Table22[[#This Row],[K Variance]])*100</f>
        <v>23</v>
      </c>
      <c r="N4">
        <f>(Table22[[#This Row],[S Variance]])*100</f>
        <v>12</v>
      </c>
      <c r="O4" t="s">
        <v>265</v>
      </c>
      <c r="P4" t="s">
        <v>32</v>
      </c>
    </row>
    <row r="5" spans="1:16" x14ac:dyDescent="0.25">
      <c r="A5" t="s">
        <v>33</v>
      </c>
      <c r="B5" t="s">
        <v>120</v>
      </c>
      <c r="C5" t="s">
        <v>5</v>
      </c>
      <c r="D5" t="s">
        <v>148</v>
      </c>
      <c r="E5" t="s">
        <v>12</v>
      </c>
      <c r="F5" t="s">
        <v>9</v>
      </c>
      <c r="G5" t="s">
        <v>10</v>
      </c>
      <c r="H5" t="s">
        <v>79</v>
      </c>
      <c r="I5" t="s">
        <v>5</v>
      </c>
      <c r="J5" t="s">
        <v>22</v>
      </c>
      <c r="K5" t="s">
        <v>10</v>
      </c>
      <c r="L5">
        <f>(Table22[[#This Row],[G Variance]])*100</f>
        <v>22</v>
      </c>
      <c r="M5">
        <f>(Table22[[#This Row],[K Variance]])*100</f>
        <v>12</v>
      </c>
      <c r="N5">
        <f>(Table22[[#This Row],[S Variance]])*100</f>
        <v>9</v>
      </c>
      <c r="O5" t="s">
        <v>266</v>
      </c>
      <c r="P5" t="s">
        <v>39</v>
      </c>
    </row>
    <row r="6" spans="1:16" x14ac:dyDescent="0.25">
      <c r="A6" t="s">
        <v>40</v>
      </c>
      <c r="B6" t="s">
        <v>145</v>
      </c>
      <c r="C6" t="s">
        <v>5</v>
      </c>
      <c r="D6" t="s">
        <v>47</v>
      </c>
      <c r="E6" t="s">
        <v>12</v>
      </c>
      <c r="F6" t="s">
        <v>28</v>
      </c>
      <c r="G6" t="s">
        <v>10</v>
      </c>
      <c r="H6" t="s">
        <v>83</v>
      </c>
      <c r="I6" t="s">
        <v>5</v>
      </c>
      <c r="J6" t="s">
        <v>22</v>
      </c>
      <c r="K6" t="s">
        <v>10</v>
      </c>
      <c r="L6">
        <f>(Table22[[#This Row],[G Variance]])*100</f>
        <v>19</v>
      </c>
      <c r="M6">
        <f>(Table22[[#This Row],[K Variance]])*100</f>
        <v>24</v>
      </c>
      <c r="N6">
        <f>(Table22[[#This Row],[S Variance]])*100</f>
        <v>6</v>
      </c>
      <c r="O6" t="s">
        <v>267</v>
      </c>
      <c r="P6" t="s">
        <v>45</v>
      </c>
    </row>
    <row r="7" spans="1:16" x14ac:dyDescent="0.25">
      <c r="A7" t="s">
        <v>46</v>
      </c>
      <c r="B7" t="s">
        <v>148</v>
      </c>
      <c r="C7" t="s">
        <v>5</v>
      </c>
      <c r="D7" t="s">
        <v>34</v>
      </c>
      <c r="E7" t="s">
        <v>12</v>
      </c>
      <c r="F7" t="s">
        <v>42</v>
      </c>
      <c r="G7" t="s">
        <v>10</v>
      </c>
      <c r="H7" t="s">
        <v>64</v>
      </c>
      <c r="I7" t="s">
        <v>5</v>
      </c>
      <c r="J7" t="s">
        <v>22</v>
      </c>
      <c r="K7" t="s">
        <v>10</v>
      </c>
      <c r="L7">
        <f>(Table22[[#This Row],[G Variance]])*100</f>
        <v>12</v>
      </c>
      <c r="M7">
        <f>(Table22[[#This Row],[K Variance]])*100</f>
        <v>20</v>
      </c>
      <c r="N7">
        <f>(Table22[[#This Row],[S Variance]])*100</f>
        <v>5</v>
      </c>
      <c r="O7" t="s">
        <v>268</v>
      </c>
      <c r="P7" t="s">
        <v>50</v>
      </c>
    </row>
    <row r="8" spans="1:16" x14ac:dyDescent="0.25">
      <c r="A8" t="s">
        <v>51</v>
      </c>
      <c r="B8" t="s">
        <v>20</v>
      </c>
      <c r="C8" t="s">
        <v>5</v>
      </c>
      <c r="D8" t="s">
        <v>145</v>
      </c>
      <c r="E8" t="s">
        <v>12</v>
      </c>
      <c r="F8" t="s">
        <v>8</v>
      </c>
      <c r="G8" t="s">
        <v>10</v>
      </c>
      <c r="H8" t="s">
        <v>93</v>
      </c>
      <c r="I8" t="s">
        <v>5</v>
      </c>
      <c r="J8" t="s">
        <v>22</v>
      </c>
      <c r="K8" t="s">
        <v>10</v>
      </c>
      <c r="L8">
        <f>(Table22[[#This Row],[G Variance]])*100</f>
        <v>11</v>
      </c>
      <c r="M8">
        <f>(Table22[[#This Row],[K Variance]])*100</f>
        <v>19</v>
      </c>
      <c r="N8">
        <f>(Table22[[#This Row],[S Variance]])*100</f>
        <v>0</v>
      </c>
      <c r="O8" t="s">
        <v>150</v>
      </c>
      <c r="P8" t="s">
        <v>55</v>
      </c>
    </row>
    <row r="9" spans="1:16" x14ac:dyDescent="0.25">
      <c r="A9" t="s">
        <v>56</v>
      </c>
      <c r="B9" t="s">
        <v>148</v>
      </c>
      <c r="C9" t="s">
        <v>5</v>
      </c>
      <c r="D9" t="s">
        <v>36</v>
      </c>
      <c r="E9" t="s">
        <v>12</v>
      </c>
      <c r="F9" t="s">
        <v>183</v>
      </c>
      <c r="G9" t="s">
        <v>10</v>
      </c>
      <c r="H9" t="s">
        <v>93</v>
      </c>
      <c r="I9" t="s">
        <v>5</v>
      </c>
      <c r="J9" t="s">
        <v>22</v>
      </c>
      <c r="K9" t="s">
        <v>10</v>
      </c>
      <c r="L9">
        <f>(Table22[[#This Row],[G Variance]])*100</f>
        <v>12</v>
      </c>
      <c r="M9">
        <f>(Table22[[#This Row],[K Variance]])*100</f>
        <v>17</v>
      </c>
      <c r="N9">
        <f>(Table22[[#This Row],[S Variance]])*100</f>
        <v>1</v>
      </c>
      <c r="O9" t="s">
        <v>269</v>
      </c>
      <c r="P9" t="s">
        <v>60</v>
      </c>
    </row>
    <row r="12" spans="1:16" ht="15" customHeight="1" x14ac:dyDescent="0.25">
      <c r="A12" s="9" t="s">
        <v>360</v>
      </c>
      <c r="B12" s="9"/>
      <c r="C12" s="9"/>
      <c r="D12" s="9"/>
      <c r="E12" s="9"/>
      <c r="F12" s="9"/>
      <c r="G12" s="9"/>
    </row>
    <row r="13" spans="1:16" ht="15" customHeight="1" x14ac:dyDescent="0.25">
      <c r="A13" s="9" t="s">
        <v>361</v>
      </c>
      <c r="B13" s="9"/>
      <c r="C13" s="9"/>
      <c r="D13" s="9"/>
      <c r="E13" s="9"/>
      <c r="F13" s="9"/>
      <c r="G13" s="9"/>
    </row>
    <row r="14" spans="1:16" x14ac:dyDescent="0.25">
      <c r="A14" s="10" t="s">
        <v>363</v>
      </c>
      <c r="B14" s="10"/>
      <c r="C14" s="10"/>
      <c r="D14" s="10"/>
      <c r="E14" s="10"/>
      <c r="F14" s="10"/>
      <c r="G14" s="10"/>
    </row>
    <row r="15" spans="1:16" ht="15" customHeight="1" x14ac:dyDescent="0.25">
      <c r="A15" s="9" t="s">
        <v>359</v>
      </c>
      <c r="B15" s="9"/>
      <c r="C15" s="9"/>
      <c r="D15" s="9"/>
      <c r="E15" s="9"/>
      <c r="F15" s="9"/>
      <c r="G15" s="9"/>
    </row>
    <row r="16" spans="1:16" ht="15" customHeight="1" x14ac:dyDescent="0.25">
      <c r="A16" s="9" t="s">
        <v>358</v>
      </c>
      <c r="B16" s="9"/>
      <c r="C16" s="9"/>
      <c r="D16" s="9"/>
      <c r="E16" s="9"/>
      <c r="F16" s="9"/>
      <c r="G16" s="9"/>
    </row>
  </sheetData>
  <mergeCells count="5">
    <mergeCell ref="A12:G12"/>
    <mergeCell ref="A13:G13"/>
    <mergeCell ref="A14:G14"/>
    <mergeCell ref="A15:G15"/>
    <mergeCell ref="A16:G16"/>
  </mergeCells>
  <pageMargins left="0.7" right="0.7" top="0.75" bottom="0.75" header="0.3" footer="0.3"/>
  <pageSetup paperSize="9" orientation="portrait" horizontalDpi="300" verticalDpi="300"/>
  <headerFooter scaleWithDoc="0" alignWithMargins="0">
    <oddHeader>&amp;L&amp;CResults of variance component analyses using all models on the GS20K&amp;R</oddHeader>
  </headerFooter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A12" sqref="A12:G16"/>
    </sheetView>
  </sheetViews>
  <sheetFormatPr defaultColWidth="8.85546875" defaultRowHeight="15" x14ac:dyDescent="0.25"/>
  <cols>
    <col min="1" max="1" width="25.7109375" customWidth="1"/>
    <col min="2" max="2" width="10.7109375" customWidth="1"/>
    <col min="3" max="3" width="6.7109375" customWidth="1"/>
    <col min="4" max="4" width="10.7109375" customWidth="1"/>
    <col min="5" max="5" width="6.7109375" customWidth="1"/>
    <col min="6" max="6" width="10.7109375" customWidth="1"/>
    <col min="7" max="7" width="6.7109375" customWidth="1"/>
    <col min="8" max="8" width="13.7109375" customWidth="1"/>
    <col min="9" max="9" width="7.7109375" customWidth="1"/>
    <col min="10" max="10" width="11.7109375" customWidth="1"/>
    <col min="11" max="11" width="6.7109375" customWidth="1"/>
    <col min="12" max="14" width="11.7109375" customWidth="1"/>
    <col min="15" max="16" width="8.7109375" customWidth="1"/>
    <col min="17" max="97" width="9.140625" customWidth="1"/>
  </cols>
  <sheetData>
    <row r="1" spans="1:16" x14ac:dyDescent="0.25">
      <c r="A1" t="s">
        <v>0</v>
      </c>
      <c r="B1" t="s">
        <v>339</v>
      </c>
      <c r="C1" t="s">
        <v>340</v>
      </c>
      <c r="D1" t="s">
        <v>345</v>
      </c>
      <c r="E1" t="s">
        <v>346</v>
      </c>
      <c r="F1" t="s">
        <v>347</v>
      </c>
      <c r="G1" t="s">
        <v>348</v>
      </c>
      <c r="H1" t="s">
        <v>349</v>
      </c>
      <c r="I1" t="s">
        <v>350</v>
      </c>
      <c r="J1" t="s">
        <v>351</v>
      </c>
      <c r="K1" t="s">
        <v>352</v>
      </c>
      <c r="L1" t="s">
        <v>353</v>
      </c>
      <c r="M1" t="s">
        <v>356</v>
      </c>
      <c r="N1" t="s">
        <v>357</v>
      </c>
      <c r="O1" t="s">
        <v>1</v>
      </c>
      <c r="P1" t="s">
        <v>2</v>
      </c>
    </row>
    <row r="2" spans="1:16" x14ac:dyDescent="0.25">
      <c r="A2" t="s">
        <v>3</v>
      </c>
      <c r="B2" t="s">
        <v>63</v>
      </c>
      <c r="C2" t="s">
        <v>5</v>
      </c>
      <c r="D2" t="s">
        <v>43</v>
      </c>
      <c r="E2" t="s">
        <v>10</v>
      </c>
      <c r="F2" t="s">
        <v>145</v>
      </c>
      <c r="G2" t="s">
        <v>5</v>
      </c>
      <c r="H2" t="s">
        <v>73</v>
      </c>
      <c r="I2" t="s">
        <v>5</v>
      </c>
      <c r="J2" t="s">
        <v>22</v>
      </c>
      <c r="K2" t="s">
        <v>10</v>
      </c>
      <c r="L2">
        <f>(Table23[[#This Row],[G Variance]])*100</f>
        <v>38</v>
      </c>
      <c r="M2">
        <f>(Table23[[#This Row],[S Variance]])*100</f>
        <v>16</v>
      </c>
      <c r="N2">
        <f>(Table23[[#This Row],[C Variance]])*100</f>
        <v>19</v>
      </c>
      <c r="O2" t="s">
        <v>270</v>
      </c>
      <c r="P2" t="s">
        <v>16</v>
      </c>
    </row>
    <row r="3" spans="1:16" x14ac:dyDescent="0.25">
      <c r="A3" t="s">
        <v>17</v>
      </c>
      <c r="B3" t="s">
        <v>96</v>
      </c>
      <c r="C3" t="s">
        <v>5</v>
      </c>
      <c r="D3" t="s">
        <v>41</v>
      </c>
      <c r="E3" t="s">
        <v>10</v>
      </c>
      <c r="F3" t="s">
        <v>100</v>
      </c>
      <c r="G3" t="s">
        <v>5</v>
      </c>
      <c r="H3" t="s">
        <v>47</v>
      </c>
      <c r="I3" t="s">
        <v>5</v>
      </c>
      <c r="J3" t="s">
        <v>14</v>
      </c>
      <c r="K3" t="s">
        <v>10</v>
      </c>
      <c r="L3">
        <f>(Table23[[#This Row],[G Variance]])*100</f>
        <v>28.000000000000004</v>
      </c>
      <c r="M3">
        <f>(Table23[[#This Row],[S Variance]])*100</f>
        <v>18</v>
      </c>
      <c r="N3">
        <f>(Table23[[#This Row],[C Variance]])*100</f>
        <v>28.999999999999996</v>
      </c>
      <c r="O3" t="s">
        <v>271</v>
      </c>
      <c r="P3" t="s">
        <v>25</v>
      </c>
    </row>
    <row r="4" spans="1:16" x14ac:dyDescent="0.25">
      <c r="A4" t="s">
        <v>26</v>
      </c>
      <c r="B4" t="s">
        <v>6</v>
      </c>
      <c r="C4" t="s">
        <v>5</v>
      </c>
      <c r="D4" t="s">
        <v>107</v>
      </c>
      <c r="E4" t="s">
        <v>10</v>
      </c>
      <c r="F4" t="s">
        <v>47</v>
      </c>
      <c r="G4" t="s">
        <v>5</v>
      </c>
      <c r="H4" t="s">
        <v>4</v>
      </c>
      <c r="I4" t="s">
        <v>5</v>
      </c>
      <c r="J4" t="s">
        <v>14</v>
      </c>
      <c r="K4" t="s">
        <v>10</v>
      </c>
      <c r="L4">
        <f>(Table23[[#This Row],[G Variance]])*100</f>
        <v>41</v>
      </c>
      <c r="M4">
        <f>(Table23[[#This Row],[S Variance]])*100</f>
        <v>14.000000000000002</v>
      </c>
      <c r="N4">
        <f>(Table23[[#This Row],[C Variance]])*100</f>
        <v>24</v>
      </c>
      <c r="O4" t="s">
        <v>272</v>
      </c>
      <c r="P4" t="s">
        <v>32</v>
      </c>
    </row>
    <row r="5" spans="1:16" x14ac:dyDescent="0.25">
      <c r="A5" t="s">
        <v>33</v>
      </c>
      <c r="B5" t="s">
        <v>100</v>
      </c>
      <c r="C5" t="s">
        <v>5</v>
      </c>
      <c r="D5" t="s">
        <v>20</v>
      </c>
      <c r="E5" t="s">
        <v>10</v>
      </c>
      <c r="F5" t="s">
        <v>148</v>
      </c>
      <c r="G5" t="s">
        <v>5</v>
      </c>
      <c r="H5" t="s">
        <v>89</v>
      </c>
      <c r="I5" t="s">
        <v>12</v>
      </c>
      <c r="J5" t="s">
        <v>22</v>
      </c>
      <c r="K5" t="s">
        <v>10</v>
      </c>
      <c r="L5">
        <f>(Table23[[#This Row],[G Variance]])*100</f>
        <v>28.999999999999996</v>
      </c>
      <c r="M5">
        <f>(Table23[[#This Row],[S Variance]])*100</f>
        <v>11</v>
      </c>
      <c r="N5">
        <f>(Table23[[#This Row],[C Variance]])*100</f>
        <v>12</v>
      </c>
      <c r="O5" t="s">
        <v>273</v>
      </c>
      <c r="P5" t="s">
        <v>39</v>
      </c>
    </row>
    <row r="6" spans="1:16" x14ac:dyDescent="0.25">
      <c r="A6" t="s">
        <v>40</v>
      </c>
      <c r="B6" t="s">
        <v>37</v>
      </c>
      <c r="C6" t="s">
        <v>5</v>
      </c>
      <c r="D6" t="s">
        <v>169</v>
      </c>
      <c r="E6" t="s">
        <v>10</v>
      </c>
      <c r="F6" t="s">
        <v>148</v>
      </c>
      <c r="G6" t="s">
        <v>5</v>
      </c>
      <c r="H6" t="s">
        <v>198</v>
      </c>
      <c r="I6" t="s">
        <v>12</v>
      </c>
      <c r="J6" t="s">
        <v>22</v>
      </c>
      <c r="K6" t="s">
        <v>10</v>
      </c>
      <c r="L6">
        <f>(Table23[[#This Row],[G Variance]])*100</f>
        <v>32</v>
      </c>
      <c r="M6">
        <f>(Table23[[#This Row],[S Variance]])*100</f>
        <v>10</v>
      </c>
      <c r="N6">
        <f>(Table23[[#This Row],[C Variance]])*100</f>
        <v>12</v>
      </c>
      <c r="O6" t="s">
        <v>274</v>
      </c>
      <c r="P6" t="s">
        <v>45</v>
      </c>
    </row>
    <row r="7" spans="1:16" x14ac:dyDescent="0.25">
      <c r="A7" t="s">
        <v>46</v>
      </c>
      <c r="B7" t="s">
        <v>120</v>
      </c>
      <c r="C7" t="s">
        <v>5</v>
      </c>
      <c r="D7" t="s">
        <v>169</v>
      </c>
      <c r="E7" t="s">
        <v>10</v>
      </c>
      <c r="F7" t="s">
        <v>13</v>
      </c>
      <c r="G7" t="s">
        <v>5</v>
      </c>
      <c r="H7" t="s">
        <v>70</v>
      </c>
      <c r="I7" t="s">
        <v>12</v>
      </c>
      <c r="J7" t="s">
        <v>22</v>
      </c>
      <c r="K7" t="s">
        <v>10</v>
      </c>
      <c r="L7">
        <f>(Table23[[#This Row],[G Variance]])*100</f>
        <v>22</v>
      </c>
      <c r="M7">
        <f>(Table23[[#This Row],[S Variance]])*100</f>
        <v>10</v>
      </c>
      <c r="N7">
        <f>(Table23[[#This Row],[C Variance]])*100</f>
        <v>2</v>
      </c>
      <c r="O7" t="s">
        <v>275</v>
      </c>
      <c r="P7" t="s">
        <v>50</v>
      </c>
    </row>
    <row r="8" spans="1:16" x14ac:dyDescent="0.25">
      <c r="A8" t="s">
        <v>51</v>
      </c>
      <c r="B8" t="s">
        <v>34</v>
      </c>
      <c r="C8" t="s">
        <v>5</v>
      </c>
      <c r="D8" t="s">
        <v>42</v>
      </c>
      <c r="E8" t="s">
        <v>10</v>
      </c>
      <c r="F8" t="s">
        <v>183</v>
      </c>
      <c r="G8" t="s">
        <v>5</v>
      </c>
      <c r="H8" t="s">
        <v>159</v>
      </c>
      <c r="I8" t="s">
        <v>12</v>
      </c>
      <c r="J8" t="s">
        <v>22</v>
      </c>
      <c r="K8" t="s">
        <v>10</v>
      </c>
      <c r="L8">
        <f>(Table23[[#This Row],[G Variance]])*100</f>
        <v>20</v>
      </c>
      <c r="M8">
        <f>(Table23[[#This Row],[S Variance]])*100</f>
        <v>5</v>
      </c>
      <c r="N8">
        <f>(Table23[[#This Row],[C Variance]])*100</f>
        <v>1</v>
      </c>
      <c r="O8" t="s">
        <v>276</v>
      </c>
      <c r="P8" t="s">
        <v>55</v>
      </c>
    </row>
    <row r="9" spans="1:16" x14ac:dyDescent="0.25">
      <c r="A9" t="s">
        <v>56</v>
      </c>
      <c r="B9" t="s">
        <v>34</v>
      </c>
      <c r="C9" t="s">
        <v>5</v>
      </c>
      <c r="D9" t="s">
        <v>42</v>
      </c>
      <c r="E9" t="s">
        <v>10</v>
      </c>
      <c r="F9" t="s">
        <v>28</v>
      </c>
      <c r="G9" t="s">
        <v>5</v>
      </c>
      <c r="H9" t="s">
        <v>181</v>
      </c>
      <c r="I9" t="s">
        <v>12</v>
      </c>
      <c r="J9" t="s">
        <v>22</v>
      </c>
      <c r="K9" t="s">
        <v>10</v>
      </c>
      <c r="L9">
        <f>(Table23[[#This Row],[G Variance]])*100</f>
        <v>20</v>
      </c>
      <c r="M9">
        <f>(Table23[[#This Row],[S Variance]])*100</f>
        <v>5</v>
      </c>
      <c r="N9">
        <f>(Table23[[#This Row],[C Variance]])*100</f>
        <v>6</v>
      </c>
      <c r="O9" t="s">
        <v>277</v>
      </c>
      <c r="P9" t="s">
        <v>60</v>
      </c>
    </row>
    <row r="12" spans="1:16" ht="15" customHeight="1" x14ac:dyDescent="0.25">
      <c r="A12" s="9" t="s">
        <v>360</v>
      </c>
      <c r="B12" s="9"/>
      <c r="C12" s="9"/>
      <c r="D12" s="9"/>
      <c r="E12" s="9"/>
      <c r="F12" s="9"/>
      <c r="G12" s="9"/>
    </row>
    <row r="13" spans="1:16" ht="15" customHeight="1" x14ac:dyDescent="0.25">
      <c r="A13" s="9" t="s">
        <v>363</v>
      </c>
      <c r="B13" s="9"/>
      <c r="C13" s="9"/>
      <c r="D13" s="9"/>
      <c r="E13" s="9"/>
      <c r="F13" s="9"/>
      <c r="G13" s="9"/>
    </row>
    <row r="14" spans="1:16" x14ac:dyDescent="0.25">
      <c r="A14" s="9" t="s">
        <v>364</v>
      </c>
      <c r="B14" s="9"/>
      <c r="C14" s="9"/>
      <c r="D14" s="9"/>
      <c r="E14" s="9"/>
      <c r="F14" s="9"/>
      <c r="G14" s="9"/>
    </row>
    <row r="15" spans="1:16" ht="15" customHeight="1" x14ac:dyDescent="0.25">
      <c r="A15" s="9" t="s">
        <v>359</v>
      </c>
      <c r="B15" s="9"/>
      <c r="C15" s="9"/>
      <c r="D15" s="9"/>
      <c r="E15" s="9"/>
      <c r="F15" s="9"/>
      <c r="G15" s="9"/>
    </row>
    <row r="16" spans="1:16" ht="15" customHeight="1" x14ac:dyDescent="0.25">
      <c r="A16" s="9" t="s">
        <v>358</v>
      </c>
      <c r="B16" s="9"/>
      <c r="C16" s="9"/>
      <c r="D16" s="9"/>
      <c r="E16" s="9"/>
      <c r="F16" s="9"/>
      <c r="G16" s="9"/>
    </row>
  </sheetData>
  <mergeCells count="5">
    <mergeCell ref="A15:G15"/>
    <mergeCell ref="A16:G16"/>
    <mergeCell ref="A12:G12"/>
    <mergeCell ref="A13:G13"/>
    <mergeCell ref="A14:G14"/>
  </mergeCells>
  <pageMargins left="0.7" right="0.7" top="0.75" bottom="0.75" header="0.3" footer="0.3"/>
  <pageSetup paperSize="9" orientation="portrait" horizontalDpi="300" verticalDpi="300"/>
  <headerFooter scaleWithDoc="0" alignWithMargins="0">
    <oddHeader>&amp;L&amp;CResults of variance component analyses using all models on the GS20K&amp;R</oddHeader>
  </headerFooter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A7" sqref="A7"/>
    </sheetView>
  </sheetViews>
  <sheetFormatPr defaultColWidth="8.85546875" defaultRowHeight="15" x14ac:dyDescent="0.25"/>
  <cols>
    <col min="1" max="1" width="25.7109375" customWidth="1"/>
    <col min="2" max="2" width="10.7109375" customWidth="1"/>
    <col min="3" max="3" width="6.7109375" customWidth="1"/>
    <col min="4" max="4" width="10.7109375" customWidth="1"/>
    <col min="5" max="5" width="6.7109375" customWidth="1"/>
    <col min="6" max="6" width="10.7109375" customWidth="1"/>
    <col min="7" max="7" width="6.7109375" customWidth="1"/>
    <col min="8" max="8" width="13.7109375" customWidth="1"/>
    <col min="9" max="9" width="7.7109375" customWidth="1"/>
    <col min="10" max="10" width="11.7109375" customWidth="1"/>
    <col min="11" max="11" width="6.7109375" customWidth="1"/>
    <col min="12" max="14" width="11.7109375" customWidth="1"/>
    <col min="15" max="16" width="8.7109375" customWidth="1"/>
    <col min="17" max="97" width="9.140625" customWidth="1"/>
  </cols>
  <sheetData>
    <row r="1" spans="1:16" x14ac:dyDescent="0.25">
      <c r="A1" t="s">
        <v>0</v>
      </c>
      <c r="B1" t="s">
        <v>341</v>
      </c>
      <c r="C1" t="s">
        <v>342</v>
      </c>
      <c r="D1" t="s">
        <v>343</v>
      </c>
      <c r="E1" t="s">
        <v>344</v>
      </c>
      <c r="F1" t="s">
        <v>347</v>
      </c>
      <c r="G1" t="s">
        <v>348</v>
      </c>
      <c r="H1" t="s">
        <v>349</v>
      </c>
      <c r="I1" t="s">
        <v>350</v>
      </c>
      <c r="J1" t="s">
        <v>351</v>
      </c>
      <c r="K1" t="s">
        <v>352</v>
      </c>
      <c r="L1" t="s">
        <v>354</v>
      </c>
      <c r="M1" t="s">
        <v>355</v>
      </c>
      <c r="N1" t="s">
        <v>357</v>
      </c>
      <c r="O1" t="s">
        <v>1</v>
      </c>
      <c r="P1" t="s">
        <v>2</v>
      </c>
    </row>
    <row r="2" spans="1:16" x14ac:dyDescent="0.25">
      <c r="A2" t="s">
        <v>3</v>
      </c>
      <c r="B2" t="s">
        <v>129</v>
      </c>
      <c r="C2" t="s">
        <v>7</v>
      </c>
      <c r="D2" t="s">
        <v>8</v>
      </c>
      <c r="E2" t="s">
        <v>5</v>
      </c>
      <c r="F2" t="s">
        <v>73</v>
      </c>
      <c r="G2" t="s">
        <v>12</v>
      </c>
      <c r="H2" t="s">
        <v>57</v>
      </c>
      <c r="I2" t="s">
        <v>7</v>
      </c>
      <c r="J2" t="s">
        <v>22</v>
      </c>
      <c r="K2" t="s">
        <v>10</v>
      </c>
      <c r="L2">
        <f>(Table24[[#This Row],[K Variance]])*100</f>
        <v>65</v>
      </c>
      <c r="M2">
        <f>(Table24[[#This Row],[F Variance]])*100</f>
        <v>0</v>
      </c>
      <c r="N2">
        <f>(Table24[[#This Row],[C Variance]])*100</f>
        <v>27</v>
      </c>
      <c r="O2" t="s">
        <v>278</v>
      </c>
      <c r="P2" t="s">
        <v>16</v>
      </c>
    </row>
    <row r="3" spans="1:16" x14ac:dyDescent="0.25">
      <c r="A3" t="s">
        <v>17</v>
      </c>
      <c r="B3" t="s">
        <v>279</v>
      </c>
      <c r="C3" t="s">
        <v>7</v>
      </c>
      <c r="D3" t="s">
        <v>8</v>
      </c>
      <c r="E3" t="s">
        <v>5</v>
      </c>
      <c r="F3" t="s">
        <v>21</v>
      </c>
      <c r="G3" t="s">
        <v>12</v>
      </c>
      <c r="H3" t="s">
        <v>35</v>
      </c>
      <c r="I3" t="s">
        <v>7</v>
      </c>
      <c r="J3" t="s">
        <v>22</v>
      </c>
      <c r="K3" t="s">
        <v>10</v>
      </c>
      <c r="L3">
        <f>(Table24[[#This Row],[K Variance]])*100</f>
        <v>56.000000000000007</v>
      </c>
      <c r="M3">
        <f>(Table24[[#This Row],[F Variance]])*100</f>
        <v>0</v>
      </c>
      <c r="N3">
        <f>(Table24[[#This Row],[C Variance]])*100</f>
        <v>36</v>
      </c>
      <c r="O3" t="s">
        <v>280</v>
      </c>
      <c r="P3" t="s">
        <v>25</v>
      </c>
    </row>
    <row r="4" spans="1:16" x14ac:dyDescent="0.25">
      <c r="A4" t="s">
        <v>26</v>
      </c>
      <c r="B4" t="s">
        <v>70</v>
      </c>
      <c r="C4" t="s">
        <v>193</v>
      </c>
      <c r="D4" t="s">
        <v>8</v>
      </c>
      <c r="E4" t="s">
        <v>5</v>
      </c>
      <c r="F4" t="s">
        <v>37</v>
      </c>
      <c r="G4" t="s">
        <v>12</v>
      </c>
      <c r="H4" t="s">
        <v>183</v>
      </c>
      <c r="I4" t="s">
        <v>193</v>
      </c>
      <c r="J4" t="s">
        <v>14</v>
      </c>
      <c r="K4" t="s">
        <v>10</v>
      </c>
      <c r="L4">
        <f>(Table24[[#This Row],[K Variance]])*100</f>
        <v>66</v>
      </c>
      <c r="M4">
        <f>(Table24[[#This Row],[F Variance]])*100</f>
        <v>0</v>
      </c>
      <c r="N4">
        <f>(Table24[[#This Row],[C Variance]])*100</f>
        <v>32</v>
      </c>
      <c r="O4" t="s">
        <v>281</v>
      </c>
      <c r="P4" t="s">
        <v>32</v>
      </c>
    </row>
    <row r="5" spans="1:16" x14ac:dyDescent="0.25">
      <c r="A5" t="s">
        <v>33</v>
      </c>
      <c r="B5" t="s">
        <v>198</v>
      </c>
      <c r="C5" t="s">
        <v>7</v>
      </c>
      <c r="D5" t="s">
        <v>8</v>
      </c>
      <c r="E5" t="s">
        <v>5</v>
      </c>
      <c r="F5" t="s">
        <v>41</v>
      </c>
      <c r="G5" t="s">
        <v>12</v>
      </c>
      <c r="H5" t="s">
        <v>114</v>
      </c>
      <c r="I5" t="s">
        <v>7</v>
      </c>
      <c r="J5" t="s">
        <v>22</v>
      </c>
      <c r="K5" t="s">
        <v>10</v>
      </c>
      <c r="L5">
        <f>(Table24[[#This Row],[K Variance]])*100</f>
        <v>45</v>
      </c>
      <c r="M5">
        <f>(Table24[[#This Row],[F Variance]])*100</f>
        <v>0</v>
      </c>
      <c r="N5">
        <f>(Table24[[#This Row],[C Variance]])*100</f>
        <v>18</v>
      </c>
      <c r="O5" t="s">
        <v>282</v>
      </c>
      <c r="P5" t="s">
        <v>39</v>
      </c>
    </row>
    <row r="6" spans="1:16" x14ac:dyDescent="0.25">
      <c r="A6" t="s">
        <v>40</v>
      </c>
      <c r="B6" t="s">
        <v>82</v>
      </c>
      <c r="C6" t="s">
        <v>7</v>
      </c>
      <c r="D6" t="s">
        <v>8</v>
      </c>
      <c r="E6" t="s">
        <v>5</v>
      </c>
      <c r="F6" t="s">
        <v>43</v>
      </c>
      <c r="G6" t="s">
        <v>12</v>
      </c>
      <c r="H6" t="s">
        <v>128</v>
      </c>
      <c r="I6" t="s">
        <v>7</v>
      </c>
      <c r="J6" t="s">
        <v>22</v>
      </c>
      <c r="K6" t="s">
        <v>10</v>
      </c>
      <c r="L6">
        <f>(Table24[[#This Row],[K Variance]])*100</f>
        <v>49</v>
      </c>
      <c r="M6">
        <f>(Table24[[#This Row],[F Variance]])*100</f>
        <v>0</v>
      </c>
      <c r="N6">
        <f>(Table24[[#This Row],[C Variance]])*100</f>
        <v>16</v>
      </c>
      <c r="O6" t="s">
        <v>283</v>
      </c>
      <c r="P6" t="s">
        <v>45</v>
      </c>
    </row>
    <row r="7" spans="1:16" x14ac:dyDescent="0.25">
      <c r="A7" t="s">
        <v>46</v>
      </c>
      <c r="B7" t="s">
        <v>21</v>
      </c>
      <c r="C7" t="s">
        <v>7</v>
      </c>
      <c r="D7" t="s">
        <v>183</v>
      </c>
      <c r="E7" t="s">
        <v>5</v>
      </c>
      <c r="F7" t="s">
        <v>42</v>
      </c>
      <c r="G7" t="s">
        <v>12</v>
      </c>
      <c r="H7" t="s">
        <v>87</v>
      </c>
      <c r="I7" t="s">
        <v>7</v>
      </c>
      <c r="J7" t="s">
        <v>22</v>
      </c>
      <c r="K7" t="s">
        <v>10</v>
      </c>
      <c r="L7">
        <f>(Table24[[#This Row],[K Variance]])*100</f>
        <v>36</v>
      </c>
      <c r="M7">
        <f>(Table24[[#This Row],[F Variance]])*100</f>
        <v>1</v>
      </c>
      <c r="N7">
        <f>(Table24[[#This Row],[C Variance]])*100</f>
        <v>5</v>
      </c>
      <c r="O7" t="s">
        <v>238</v>
      </c>
      <c r="P7" t="s">
        <v>50</v>
      </c>
    </row>
    <row r="8" spans="1:16" x14ac:dyDescent="0.25">
      <c r="A8" t="s">
        <v>51</v>
      </c>
      <c r="B8" t="s">
        <v>11</v>
      </c>
      <c r="C8" t="s">
        <v>7</v>
      </c>
      <c r="D8" t="s">
        <v>13</v>
      </c>
      <c r="E8" t="s">
        <v>5</v>
      </c>
      <c r="F8" t="s">
        <v>8</v>
      </c>
      <c r="G8" t="s">
        <v>12</v>
      </c>
      <c r="H8" t="s">
        <v>53</v>
      </c>
      <c r="I8" t="s">
        <v>7</v>
      </c>
      <c r="J8" t="s">
        <v>22</v>
      </c>
      <c r="K8" t="s">
        <v>10</v>
      </c>
      <c r="L8">
        <f>(Table24[[#This Row],[K Variance]])*100</f>
        <v>26</v>
      </c>
      <c r="M8">
        <f>(Table24[[#This Row],[F Variance]])*100</f>
        <v>2</v>
      </c>
      <c r="N8">
        <f>(Table24[[#This Row],[C Variance]])*100</f>
        <v>0</v>
      </c>
      <c r="O8" t="s">
        <v>194</v>
      </c>
      <c r="P8" t="s">
        <v>55</v>
      </c>
    </row>
    <row r="9" spans="1:16" x14ac:dyDescent="0.25">
      <c r="A9" t="s">
        <v>56</v>
      </c>
      <c r="B9" t="s">
        <v>36</v>
      </c>
      <c r="C9" t="s">
        <v>7</v>
      </c>
      <c r="D9" t="s">
        <v>57</v>
      </c>
      <c r="E9" t="s">
        <v>5</v>
      </c>
      <c r="F9" t="s">
        <v>8</v>
      </c>
      <c r="G9" t="s">
        <v>12</v>
      </c>
      <c r="H9" t="s">
        <v>58</v>
      </c>
      <c r="I9" t="s">
        <v>7</v>
      </c>
      <c r="J9" t="s">
        <v>22</v>
      </c>
      <c r="K9" t="s">
        <v>10</v>
      </c>
      <c r="L9">
        <f>(Table24[[#This Row],[K Variance]])*100</f>
        <v>17</v>
      </c>
      <c r="M9">
        <f>(Table24[[#This Row],[F Variance]])*100</f>
        <v>7.0000000000000009</v>
      </c>
      <c r="N9">
        <f>(Table24[[#This Row],[C Variance]])*100</f>
        <v>0</v>
      </c>
      <c r="O9" t="s">
        <v>284</v>
      </c>
      <c r="P9" t="s">
        <v>60</v>
      </c>
    </row>
    <row r="12" spans="1:16" ht="15" customHeight="1" x14ac:dyDescent="0.25">
      <c r="A12" s="9" t="s">
        <v>361</v>
      </c>
      <c r="B12" s="9"/>
      <c r="C12" s="9"/>
      <c r="D12" s="9"/>
      <c r="E12" s="9"/>
      <c r="F12" s="9"/>
      <c r="G12" s="9"/>
    </row>
    <row r="13" spans="1:16" ht="15" customHeight="1" x14ac:dyDescent="0.25">
      <c r="A13" s="9" t="s">
        <v>362</v>
      </c>
      <c r="B13" s="9"/>
      <c r="C13" s="9"/>
      <c r="D13" s="9"/>
      <c r="E13" s="9"/>
      <c r="F13" s="9"/>
      <c r="G13" s="9"/>
    </row>
    <row r="14" spans="1:16" x14ac:dyDescent="0.25">
      <c r="A14" s="11" t="s">
        <v>364</v>
      </c>
      <c r="B14" s="11"/>
      <c r="C14" s="11"/>
      <c r="D14" s="11"/>
      <c r="E14" s="11"/>
      <c r="F14" s="11"/>
      <c r="G14" s="11"/>
    </row>
    <row r="15" spans="1:16" ht="15" customHeight="1" x14ac:dyDescent="0.25">
      <c r="A15" s="9" t="s">
        <v>359</v>
      </c>
      <c r="B15" s="9"/>
      <c r="C15" s="9"/>
      <c r="D15" s="9"/>
      <c r="E15" s="9"/>
      <c r="F15" s="9"/>
      <c r="G15" s="9"/>
    </row>
    <row r="16" spans="1:16" ht="15" customHeight="1" x14ac:dyDescent="0.25">
      <c r="A16" s="9" t="s">
        <v>358</v>
      </c>
      <c r="B16" s="9"/>
      <c r="C16" s="9"/>
      <c r="D16" s="9"/>
      <c r="E16" s="9"/>
      <c r="F16" s="9"/>
      <c r="G16" s="9"/>
    </row>
  </sheetData>
  <mergeCells count="5">
    <mergeCell ref="A12:G12"/>
    <mergeCell ref="A13:G13"/>
    <mergeCell ref="A14:G14"/>
    <mergeCell ref="A15:G15"/>
    <mergeCell ref="A16:G16"/>
  </mergeCells>
  <pageMargins left="0.7" right="0.7" top="0.75" bottom="0.75" header="0.3" footer="0.3"/>
  <pageSetup paperSize="9" orientation="portrait" horizontalDpi="300" verticalDpi="300"/>
  <headerFooter scaleWithDoc="0" alignWithMargins="0">
    <oddHeader>&amp;L&amp;CResults of variance component analyses using all models on the GS20K&amp;R</oddHeader>
  </headerFooter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M13" sqref="M13"/>
    </sheetView>
  </sheetViews>
  <sheetFormatPr defaultColWidth="8.85546875" defaultRowHeight="15" x14ac:dyDescent="0.25"/>
  <cols>
    <col min="1" max="1" width="25.7109375" customWidth="1"/>
    <col min="2" max="2" width="10.7109375" customWidth="1"/>
    <col min="3" max="3" width="6.7109375" customWidth="1"/>
    <col min="4" max="4" width="10.7109375" customWidth="1"/>
    <col min="5" max="5" width="6.7109375" customWidth="1"/>
    <col min="6" max="6" width="10.7109375" customWidth="1"/>
    <col min="7" max="7" width="6.7109375" customWidth="1"/>
    <col min="8" max="8" width="13.7109375" customWidth="1"/>
    <col min="9" max="9" width="7.7109375" customWidth="1"/>
    <col min="10" max="10" width="11.7109375" customWidth="1"/>
    <col min="11" max="11" width="6.7109375" customWidth="1"/>
    <col min="12" max="14" width="11.7109375" customWidth="1"/>
    <col min="15" max="16" width="8.7109375" customWidth="1"/>
    <col min="17" max="97" width="9.140625" customWidth="1"/>
  </cols>
  <sheetData>
    <row r="1" spans="1:16" x14ac:dyDescent="0.25">
      <c r="A1" t="s">
        <v>0</v>
      </c>
      <c r="B1" t="s">
        <v>341</v>
      </c>
      <c r="C1" t="s">
        <v>342</v>
      </c>
      <c r="D1" t="s">
        <v>343</v>
      </c>
      <c r="E1" t="s">
        <v>344</v>
      </c>
      <c r="F1" t="s">
        <v>345</v>
      </c>
      <c r="G1" t="s">
        <v>346</v>
      </c>
      <c r="H1" t="s">
        <v>349</v>
      </c>
      <c r="I1" t="s">
        <v>350</v>
      </c>
      <c r="J1" t="s">
        <v>351</v>
      </c>
      <c r="K1" t="s">
        <v>352</v>
      </c>
      <c r="L1" t="s">
        <v>354</v>
      </c>
      <c r="M1" t="s">
        <v>355</v>
      </c>
      <c r="N1" t="s">
        <v>356</v>
      </c>
      <c r="O1" t="s">
        <v>1</v>
      </c>
      <c r="P1" t="s">
        <v>2</v>
      </c>
    </row>
    <row r="2" spans="1:16" x14ac:dyDescent="0.25">
      <c r="A2" t="s">
        <v>3</v>
      </c>
      <c r="B2" t="s">
        <v>186</v>
      </c>
      <c r="C2" t="s">
        <v>12</v>
      </c>
      <c r="D2" t="s">
        <v>169</v>
      </c>
      <c r="E2" t="s">
        <v>5</v>
      </c>
      <c r="F2" t="s">
        <v>169</v>
      </c>
      <c r="G2" t="s">
        <v>10</v>
      </c>
      <c r="H2" t="s">
        <v>61</v>
      </c>
      <c r="I2" t="s">
        <v>5</v>
      </c>
      <c r="J2" t="s">
        <v>22</v>
      </c>
      <c r="K2" t="s">
        <v>10</v>
      </c>
      <c r="L2">
        <f>(Table25[[#This Row],[K Variance]])*100</f>
        <v>33</v>
      </c>
      <c r="M2">
        <f>(Table25[[#This Row],[F Variance]])*100</f>
        <v>10</v>
      </c>
      <c r="N2">
        <f>(Table25[[#This Row],[S Variance]])*100</f>
        <v>10</v>
      </c>
      <c r="O2" t="s">
        <v>285</v>
      </c>
      <c r="P2" t="s">
        <v>16</v>
      </c>
    </row>
    <row r="3" spans="1:16" x14ac:dyDescent="0.25">
      <c r="A3" t="s">
        <v>17</v>
      </c>
      <c r="B3" t="s">
        <v>18</v>
      </c>
      <c r="C3" t="s">
        <v>193</v>
      </c>
      <c r="D3" t="s">
        <v>36</v>
      </c>
      <c r="E3" t="s">
        <v>5</v>
      </c>
      <c r="F3" t="s">
        <v>148</v>
      </c>
      <c r="G3" t="s">
        <v>10</v>
      </c>
      <c r="H3" t="s">
        <v>87</v>
      </c>
      <c r="I3" t="s">
        <v>5</v>
      </c>
      <c r="J3" t="s">
        <v>22</v>
      </c>
      <c r="K3" t="s">
        <v>10</v>
      </c>
      <c r="L3">
        <f>(Table25[[#This Row],[K Variance]])*100</f>
        <v>13</v>
      </c>
      <c r="M3">
        <f>(Table25[[#This Row],[F Variance]])*100</f>
        <v>17</v>
      </c>
      <c r="N3">
        <f>(Table25[[#This Row],[S Variance]])*100</f>
        <v>12</v>
      </c>
      <c r="O3" t="s">
        <v>286</v>
      </c>
      <c r="P3" t="s">
        <v>25</v>
      </c>
    </row>
    <row r="4" spans="1:16" x14ac:dyDescent="0.25">
      <c r="A4" t="s">
        <v>26</v>
      </c>
      <c r="B4" t="s">
        <v>100</v>
      </c>
      <c r="C4" t="s">
        <v>12</v>
      </c>
      <c r="D4" t="s">
        <v>18</v>
      </c>
      <c r="E4" t="s">
        <v>5</v>
      </c>
      <c r="F4" t="s">
        <v>35</v>
      </c>
      <c r="G4" t="s">
        <v>10</v>
      </c>
      <c r="H4" t="s">
        <v>82</v>
      </c>
      <c r="I4" t="s">
        <v>5</v>
      </c>
      <c r="J4" t="s">
        <v>14</v>
      </c>
      <c r="K4" t="s">
        <v>10</v>
      </c>
      <c r="L4">
        <f>(Table25[[#This Row],[K Variance]])*100</f>
        <v>28.999999999999996</v>
      </c>
      <c r="M4">
        <f>(Table25[[#This Row],[F Variance]])*100</f>
        <v>13</v>
      </c>
      <c r="N4">
        <f>(Table25[[#This Row],[S Variance]])*100</f>
        <v>8</v>
      </c>
      <c r="O4" t="s">
        <v>287</v>
      </c>
      <c r="P4" t="s">
        <v>32</v>
      </c>
    </row>
    <row r="5" spans="1:16" x14ac:dyDescent="0.25">
      <c r="A5" t="s">
        <v>33</v>
      </c>
      <c r="B5" t="s">
        <v>96</v>
      </c>
      <c r="C5" t="s">
        <v>193</v>
      </c>
      <c r="D5" t="s">
        <v>227</v>
      </c>
      <c r="E5" t="s">
        <v>5</v>
      </c>
      <c r="F5" t="s">
        <v>35</v>
      </c>
      <c r="G5" t="s">
        <v>10</v>
      </c>
      <c r="H5" t="s">
        <v>126</v>
      </c>
      <c r="I5" t="s">
        <v>5</v>
      </c>
      <c r="J5" t="s">
        <v>22</v>
      </c>
      <c r="K5" t="s">
        <v>10</v>
      </c>
      <c r="L5">
        <f>(Table25[[#This Row],[K Variance]])*100</f>
        <v>28.000000000000004</v>
      </c>
      <c r="M5">
        <f>(Table25[[#This Row],[F Variance]])*100</f>
        <v>4</v>
      </c>
      <c r="N5">
        <f>(Table25[[#This Row],[S Variance]])*100</f>
        <v>8</v>
      </c>
      <c r="O5" t="s">
        <v>288</v>
      </c>
      <c r="P5" t="s">
        <v>39</v>
      </c>
    </row>
    <row r="6" spans="1:16" s="1" customFormat="1" x14ac:dyDescent="0.25">
      <c r="A6" t="s">
        <v>40</v>
      </c>
      <c r="B6" t="s">
        <v>30</v>
      </c>
      <c r="C6" t="s">
        <v>12</v>
      </c>
      <c r="D6" t="s">
        <v>35</v>
      </c>
      <c r="E6" t="s">
        <v>5</v>
      </c>
      <c r="F6" t="s">
        <v>227</v>
      </c>
      <c r="G6" t="s">
        <v>10</v>
      </c>
      <c r="H6" t="s">
        <v>79</v>
      </c>
      <c r="I6" t="s">
        <v>5</v>
      </c>
      <c r="J6" t="s">
        <v>22</v>
      </c>
      <c r="K6" t="s">
        <v>10</v>
      </c>
      <c r="L6">
        <f>(Table25[[#This Row],[K Variance]])*100</f>
        <v>31</v>
      </c>
      <c r="M6">
        <f>(Table25[[#This Row],[F Variance]])*100</f>
        <v>8</v>
      </c>
      <c r="N6">
        <f>(Table25[[#This Row],[S Variance]])*100</f>
        <v>4</v>
      </c>
      <c r="O6" t="s">
        <v>289</v>
      </c>
      <c r="P6" t="s">
        <v>45</v>
      </c>
    </row>
    <row r="7" spans="1:16" x14ac:dyDescent="0.25">
      <c r="A7" s="1" t="s">
        <v>46</v>
      </c>
      <c r="B7" s="6">
        <v>0.31</v>
      </c>
      <c r="C7" s="6" t="s">
        <v>12</v>
      </c>
      <c r="D7" s="6" t="s">
        <v>183</v>
      </c>
      <c r="E7" s="6" t="s">
        <v>5</v>
      </c>
      <c r="F7" s="6" t="s">
        <v>42</v>
      </c>
      <c r="G7" s="6" t="s">
        <v>10</v>
      </c>
      <c r="H7" s="6" t="s">
        <v>112</v>
      </c>
      <c r="I7" s="6" t="s">
        <v>5</v>
      </c>
      <c r="J7" s="6" t="s">
        <v>22</v>
      </c>
      <c r="K7" s="6" t="s">
        <v>10</v>
      </c>
      <c r="L7" s="1">
        <f>(Table25[[#This Row],[K Variance]])*100</f>
        <v>31</v>
      </c>
      <c r="M7" s="1">
        <f>(Table25[[#This Row],[F Variance]])*100</f>
        <v>1</v>
      </c>
      <c r="N7" s="1">
        <f>(Table25[[#This Row],[S Variance]])*100</f>
        <v>5</v>
      </c>
      <c r="O7" s="1">
        <v>-9392.7469999999994</v>
      </c>
      <c r="P7" s="1">
        <v>19365</v>
      </c>
    </row>
    <row r="8" spans="1:16" x14ac:dyDescent="0.25">
      <c r="A8" t="s">
        <v>51</v>
      </c>
      <c r="B8" t="s">
        <v>11</v>
      </c>
      <c r="C8" t="s">
        <v>193</v>
      </c>
      <c r="D8" t="s">
        <v>13</v>
      </c>
      <c r="E8" t="s">
        <v>5</v>
      </c>
      <c r="F8" t="s">
        <v>8</v>
      </c>
      <c r="G8" t="s">
        <v>10</v>
      </c>
      <c r="H8" t="s">
        <v>53</v>
      </c>
      <c r="I8" t="s">
        <v>5</v>
      </c>
      <c r="J8" t="s">
        <v>22</v>
      </c>
      <c r="K8" t="s">
        <v>10</v>
      </c>
      <c r="L8">
        <f>(Table25[[#This Row],[K Variance]])*100</f>
        <v>26</v>
      </c>
      <c r="M8">
        <f>(Table25[[#This Row],[F Variance]])*100</f>
        <v>2</v>
      </c>
      <c r="N8">
        <f>(Table25[[#This Row],[S Variance]])*100</f>
        <v>0</v>
      </c>
      <c r="O8" t="s">
        <v>194</v>
      </c>
      <c r="P8" t="s">
        <v>55</v>
      </c>
    </row>
    <row r="9" spans="1:16" x14ac:dyDescent="0.25">
      <c r="A9" t="s">
        <v>56</v>
      </c>
      <c r="B9" t="s">
        <v>36</v>
      </c>
      <c r="C9" t="s">
        <v>12</v>
      </c>
      <c r="D9" t="s">
        <v>57</v>
      </c>
      <c r="E9" t="s">
        <v>5</v>
      </c>
      <c r="F9" t="s">
        <v>8</v>
      </c>
      <c r="G9" t="s">
        <v>10</v>
      </c>
      <c r="H9" t="s">
        <v>58</v>
      </c>
      <c r="I9" t="s">
        <v>5</v>
      </c>
      <c r="J9" t="s">
        <v>22</v>
      </c>
      <c r="K9" t="s">
        <v>10</v>
      </c>
      <c r="L9">
        <f>(Table25[[#This Row],[K Variance]])*100</f>
        <v>17</v>
      </c>
      <c r="M9">
        <f>(Table25[[#This Row],[F Variance]])*100</f>
        <v>7.0000000000000009</v>
      </c>
      <c r="N9">
        <f>(Table25[[#This Row],[S Variance]])*100</f>
        <v>0</v>
      </c>
      <c r="O9" t="s">
        <v>195</v>
      </c>
      <c r="P9" t="s">
        <v>60</v>
      </c>
    </row>
    <row r="13" spans="1:16" ht="15" customHeight="1" x14ac:dyDescent="0.25">
      <c r="A13" s="9" t="s">
        <v>361</v>
      </c>
      <c r="B13" s="9"/>
      <c r="C13" s="9"/>
      <c r="D13" s="9"/>
      <c r="E13" s="9"/>
      <c r="F13" s="9"/>
      <c r="G13" s="9"/>
    </row>
    <row r="14" spans="1:16" ht="15" customHeight="1" x14ac:dyDescent="0.25">
      <c r="A14" s="9" t="s">
        <v>362</v>
      </c>
      <c r="B14" s="9"/>
      <c r="C14" s="9"/>
      <c r="D14" s="9"/>
      <c r="E14" s="9"/>
      <c r="F14" s="9"/>
      <c r="G14" s="9"/>
    </row>
    <row r="15" spans="1:16" x14ac:dyDescent="0.25">
      <c r="A15" s="12" t="s">
        <v>363</v>
      </c>
      <c r="B15" s="12"/>
      <c r="C15" s="12"/>
      <c r="D15" s="12"/>
      <c r="E15" s="12"/>
      <c r="F15" s="12"/>
      <c r="G15" s="12"/>
    </row>
    <row r="16" spans="1:16" ht="15" customHeight="1" x14ac:dyDescent="0.25">
      <c r="A16" s="9" t="s">
        <v>359</v>
      </c>
      <c r="B16" s="9"/>
      <c r="C16" s="9"/>
      <c r="D16" s="9"/>
      <c r="E16" s="9"/>
      <c r="F16" s="9"/>
      <c r="G16" s="9"/>
    </row>
    <row r="17" spans="1:7" ht="15" customHeight="1" x14ac:dyDescent="0.25">
      <c r="A17" s="9" t="s">
        <v>358</v>
      </c>
      <c r="B17" s="9"/>
      <c r="C17" s="9"/>
      <c r="D17" s="9"/>
      <c r="E17" s="9"/>
      <c r="F17" s="9"/>
      <c r="G17" s="9"/>
    </row>
  </sheetData>
  <mergeCells count="5">
    <mergeCell ref="A13:G13"/>
    <mergeCell ref="A14:G14"/>
    <mergeCell ref="A15:G15"/>
    <mergeCell ref="A16:G16"/>
    <mergeCell ref="A17:G17"/>
  </mergeCells>
  <pageMargins left="0.7" right="0.7" top="0.75" bottom="0.75" header="0.3" footer="0.3"/>
  <pageSetup paperSize="9" orientation="portrait" horizontalDpi="300" verticalDpi="300"/>
  <headerFooter scaleWithDoc="0" alignWithMargins="0">
    <oddHeader>&amp;L&amp;CResults of variance component analyses using all models on the GS20K&amp;R</oddHeader>
  </headerFooter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N34" sqref="M34:N34"/>
    </sheetView>
  </sheetViews>
  <sheetFormatPr defaultColWidth="8.85546875" defaultRowHeight="15" x14ac:dyDescent="0.25"/>
  <cols>
    <col min="1" max="1" width="25.7109375" customWidth="1"/>
    <col min="2" max="2" width="10.7109375" customWidth="1"/>
    <col min="3" max="3" width="7.42578125" bestFit="1" customWidth="1"/>
    <col min="4" max="4" width="13" bestFit="1" customWidth="1"/>
    <col min="5" max="5" width="7.28515625" bestFit="1" customWidth="1"/>
    <col min="6" max="6" width="13.140625" bestFit="1" customWidth="1"/>
    <col min="7" max="7" width="6.7109375" customWidth="1"/>
    <col min="8" max="8" width="13.7109375" customWidth="1"/>
    <col min="9" max="9" width="7.7109375" customWidth="1"/>
    <col min="10" max="10" width="11.7109375" customWidth="1"/>
    <col min="11" max="11" width="6.7109375" customWidth="1"/>
    <col min="12" max="14" width="11.7109375" customWidth="1"/>
    <col min="15" max="16" width="8.7109375" customWidth="1"/>
    <col min="17" max="97" width="9.140625" customWidth="1"/>
  </cols>
  <sheetData>
    <row r="1" spans="1:16" x14ac:dyDescent="0.25">
      <c r="A1" t="s">
        <v>0</v>
      </c>
      <c r="B1" t="s">
        <v>341</v>
      </c>
      <c r="C1" t="s">
        <v>342</v>
      </c>
      <c r="D1" t="s">
        <v>345</v>
      </c>
      <c r="E1" t="s">
        <v>346</v>
      </c>
      <c r="F1" t="s">
        <v>347</v>
      </c>
      <c r="G1" t="s">
        <v>348</v>
      </c>
      <c r="H1" t="s">
        <v>349</v>
      </c>
      <c r="I1" t="s">
        <v>350</v>
      </c>
      <c r="J1" t="s">
        <v>351</v>
      </c>
      <c r="K1" t="s">
        <v>352</v>
      </c>
      <c r="L1" t="s">
        <v>354</v>
      </c>
      <c r="M1" t="s">
        <v>356</v>
      </c>
      <c r="N1" t="s">
        <v>357</v>
      </c>
      <c r="O1" t="s">
        <v>1</v>
      </c>
      <c r="P1" t="s">
        <v>2</v>
      </c>
    </row>
    <row r="2" spans="1:16" x14ac:dyDescent="0.25">
      <c r="A2" t="s">
        <v>3</v>
      </c>
      <c r="B2">
        <v>0.55000000000000004</v>
      </c>
      <c r="C2" t="s">
        <v>5</v>
      </c>
      <c r="D2" t="s">
        <v>9</v>
      </c>
      <c r="E2" t="s">
        <v>10</v>
      </c>
      <c r="F2" t="s">
        <v>27</v>
      </c>
      <c r="G2" t="s">
        <v>5</v>
      </c>
      <c r="H2" t="s">
        <v>18</v>
      </c>
      <c r="I2" t="s">
        <v>12</v>
      </c>
      <c r="J2" t="s">
        <v>22</v>
      </c>
      <c r="K2" t="s">
        <v>10</v>
      </c>
      <c r="L2">
        <f>(Table26[[#This Row],[K Variance]])*100</f>
        <v>55.000000000000007</v>
      </c>
      <c r="M2">
        <f>(Table26[[#This Row],[S Variance]])*100</f>
        <v>9</v>
      </c>
      <c r="N2">
        <f>(Table26[[#This Row],[C Variance]])*100</f>
        <v>23</v>
      </c>
      <c r="O2" t="s">
        <v>290</v>
      </c>
      <c r="P2" t="s">
        <v>16</v>
      </c>
    </row>
    <row r="3" spans="1:16" x14ac:dyDescent="0.25">
      <c r="A3" t="s">
        <v>17</v>
      </c>
      <c r="B3" t="s">
        <v>198</v>
      </c>
      <c r="C3" t="s">
        <v>5</v>
      </c>
      <c r="D3" t="s">
        <v>20</v>
      </c>
      <c r="E3" t="s">
        <v>10</v>
      </c>
      <c r="F3" t="s">
        <v>37</v>
      </c>
      <c r="G3" t="s">
        <v>5</v>
      </c>
      <c r="H3" t="s">
        <v>148</v>
      </c>
      <c r="I3" t="s">
        <v>5</v>
      </c>
      <c r="J3" t="s">
        <v>22</v>
      </c>
      <c r="K3" t="s">
        <v>10</v>
      </c>
      <c r="L3">
        <f>(Table26[[#This Row],[K Variance]])*100</f>
        <v>45</v>
      </c>
      <c r="M3">
        <f>(Table26[[#This Row],[S Variance]])*100</f>
        <v>11</v>
      </c>
      <c r="N3">
        <f>(Table26[[#This Row],[C Variance]])*100</f>
        <v>32</v>
      </c>
      <c r="O3" t="s">
        <v>291</v>
      </c>
      <c r="P3" t="s">
        <v>25</v>
      </c>
    </row>
    <row r="4" spans="1:16" x14ac:dyDescent="0.25">
      <c r="A4" t="s">
        <v>26</v>
      </c>
      <c r="B4" t="s">
        <v>79</v>
      </c>
      <c r="C4" t="s">
        <v>5</v>
      </c>
      <c r="D4" t="s">
        <v>57</v>
      </c>
      <c r="E4" t="s">
        <v>10</v>
      </c>
      <c r="F4" t="s">
        <v>100</v>
      </c>
      <c r="G4" t="s">
        <v>5</v>
      </c>
      <c r="H4" t="s">
        <v>28</v>
      </c>
      <c r="I4" t="s">
        <v>5</v>
      </c>
      <c r="J4" t="s">
        <v>22</v>
      </c>
      <c r="K4" t="s">
        <v>10</v>
      </c>
      <c r="L4">
        <f>(Table26[[#This Row],[K Variance]])*100</f>
        <v>56.999999999999993</v>
      </c>
      <c r="M4">
        <f>(Table26[[#This Row],[S Variance]])*100</f>
        <v>7.0000000000000009</v>
      </c>
      <c r="N4">
        <f>(Table26[[#This Row],[C Variance]])*100</f>
        <v>28.999999999999996</v>
      </c>
      <c r="O4" t="s">
        <v>292</v>
      </c>
      <c r="P4" t="s">
        <v>32</v>
      </c>
    </row>
    <row r="5" spans="1:16" x14ac:dyDescent="0.25">
      <c r="A5" t="s">
        <v>33</v>
      </c>
      <c r="B5" t="s">
        <v>21</v>
      </c>
      <c r="C5" t="s">
        <v>5</v>
      </c>
      <c r="D5" t="s">
        <v>35</v>
      </c>
      <c r="E5" t="s">
        <v>10</v>
      </c>
      <c r="F5" t="s">
        <v>52</v>
      </c>
      <c r="G5" t="s">
        <v>5</v>
      </c>
      <c r="H5" t="s">
        <v>6</v>
      </c>
      <c r="I5" t="s">
        <v>12</v>
      </c>
      <c r="J5" t="s">
        <v>22</v>
      </c>
      <c r="K5" t="s">
        <v>10</v>
      </c>
      <c r="L5">
        <f>(Table26[[#This Row],[K Variance]])*100</f>
        <v>36</v>
      </c>
      <c r="M5">
        <f>(Table26[[#This Row],[S Variance]])*100</f>
        <v>8</v>
      </c>
      <c r="N5">
        <f>(Table26[[#This Row],[C Variance]])*100</f>
        <v>15</v>
      </c>
      <c r="O5" t="s">
        <v>293</v>
      </c>
      <c r="P5" t="s">
        <v>39</v>
      </c>
    </row>
    <row r="6" spans="1:16" x14ac:dyDescent="0.25">
      <c r="A6" t="s">
        <v>40</v>
      </c>
      <c r="B6" t="s">
        <v>61</v>
      </c>
      <c r="C6" t="s">
        <v>5</v>
      </c>
      <c r="D6" t="s">
        <v>227</v>
      </c>
      <c r="E6" t="s">
        <v>10</v>
      </c>
      <c r="F6" t="s">
        <v>52</v>
      </c>
      <c r="G6" t="s">
        <v>5</v>
      </c>
      <c r="H6" t="s">
        <v>69</v>
      </c>
      <c r="I6" t="s">
        <v>12</v>
      </c>
      <c r="J6" t="s">
        <v>22</v>
      </c>
      <c r="K6" t="s">
        <v>10</v>
      </c>
      <c r="L6">
        <f>(Table26[[#This Row],[K Variance]])*100</f>
        <v>46</v>
      </c>
      <c r="M6">
        <f>(Table26[[#This Row],[S Variance]])*100</f>
        <v>4</v>
      </c>
      <c r="N6">
        <f>(Table26[[#This Row],[C Variance]])*100</f>
        <v>15</v>
      </c>
      <c r="O6" t="s">
        <v>294</v>
      </c>
      <c r="P6" t="s">
        <v>45</v>
      </c>
    </row>
    <row r="7" spans="1:16" x14ac:dyDescent="0.25">
      <c r="A7" t="s">
        <v>46</v>
      </c>
      <c r="B7" t="s">
        <v>186</v>
      </c>
      <c r="C7" t="s">
        <v>5</v>
      </c>
      <c r="D7" t="s">
        <v>42</v>
      </c>
      <c r="E7" t="s">
        <v>10</v>
      </c>
      <c r="F7" t="s">
        <v>227</v>
      </c>
      <c r="G7" t="s">
        <v>5</v>
      </c>
      <c r="H7" t="s">
        <v>210</v>
      </c>
      <c r="I7" t="s">
        <v>12</v>
      </c>
      <c r="J7" t="s">
        <v>22</v>
      </c>
      <c r="K7" t="s">
        <v>10</v>
      </c>
      <c r="L7">
        <f>(Table26[[#This Row],[K Variance]])*100</f>
        <v>33</v>
      </c>
      <c r="M7">
        <f>(Table26[[#This Row],[S Variance]])*100</f>
        <v>5</v>
      </c>
      <c r="N7">
        <f>(Table26[[#This Row],[C Variance]])*100</f>
        <v>4</v>
      </c>
      <c r="O7" t="s">
        <v>295</v>
      </c>
      <c r="P7" t="s">
        <v>50</v>
      </c>
    </row>
    <row r="8" spans="1:16" x14ac:dyDescent="0.25">
      <c r="A8" t="s">
        <v>51</v>
      </c>
      <c r="B8" t="s">
        <v>29</v>
      </c>
      <c r="C8" t="s">
        <v>5</v>
      </c>
      <c r="D8" t="s">
        <v>8</v>
      </c>
      <c r="E8" t="s">
        <v>10</v>
      </c>
      <c r="F8" t="s">
        <v>13</v>
      </c>
      <c r="G8" t="s">
        <v>5</v>
      </c>
      <c r="H8" t="s">
        <v>170</v>
      </c>
      <c r="I8" t="s">
        <v>12</v>
      </c>
      <c r="J8" t="s">
        <v>22</v>
      </c>
      <c r="K8" t="s">
        <v>10</v>
      </c>
      <c r="L8">
        <f>(Table26[[#This Row],[K Variance]])*100</f>
        <v>30</v>
      </c>
      <c r="M8">
        <f>(Table26[[#This Row],[S Variance]])*100</f>
        <v>0</v>
      </c>
      <c r="N8">
        <f>(Table26[[#This Row],[C Variance]])*100</f>
        <v>2</v>
      </c>
      <c r="O8" t="s">
        <v>212</v>
      </c>
      <c r="P8" t="s">
        <v>55</v>
      </c>
    </row>
    <row r="9" spans="1:16" x14ac:dyDescent="0.25">
      <c r="A9" t="s">
        <v>56</v>
      </c>
      <c r="B9" t="s">
        <v>29</v>
      </c>
      <c r="C9" t="s">
        <v>5</v>
      </c>
      <c r="D9" t="s">
        <v>183</v>
      </c>
      <c r="E9" t="s">
        <v>10</v>
      </c>
      <c r="F9" t="s">
        <v>57</v>
      </c>
      <c r="G9" t="s">
        <v>5</v>
      </c>
      <c r="H9" t="s">
        <v>112</v>
      </c>
      <c r="I9" t="s">
        <v>12</v>
      </c>
      <c r="J9" t="s">
        <v>22</v>
      </c>
      <c r="K9" t="s">
        <v>10</v>
      </c>
      <c r="L9">
        <f>(Table26[[#This Row],[K Variance]])*100</f>
        <v>30</v>
      </c>
      <c r="M9">
        <f>(Table26[[#This Row],[S Variance]])*100</f>
        <v>1</v>
      </c>
      <c r="N9">
        <f>(Table26[[#This Row],[C Variance]])*100</f>
        <v>7.0000000000000009</v>
      </c>
      <c r="O9" t="s">
        <v>296</v>
      </c>
      <c r="P9" t="s">
        <v>60</v>
      </c>
    </row>
    <row r="12" spans="1:16" ht="15" customHeight="1" x14ac:dyDescent="0.25">
      <c r="A12" s="9" t="s">
        <v>361</v>
      </c>
      <c r="B12" s="9"/>
      <c r="C12" s="9"/>
      <c r="D12" s="9"/>
      <c r="E12" s="9"/>
      <c r="F12" s="9"/>
      <c r="G12" s="9"/>
    </row>
    <row r="13" spans="1:16" ht="15" customHeight="1" x14ac:dyDescent="0.25">
      <c r="A13" s="11" t="s">
        <v>363</v>
      </c>
      <c r="B13" s="11"/>
      <c r="C13" s="11"/>
      <c r="D13" s="11"/>
      <c r="E13" s="11"/>
      <c r="F13" s="11"/>
      <c r="G13" s="11"/>
    </row>
    <row r="14" spans="1:16" x14ac:dyDescent="0.25">
      <c r="A14" s="11" t="s">
        <v>364</v>
      </c>
      <c r="B14" s="11"/>
      <c r="C14" s="11"/>
      <c r="D14" s="11"/>
      <c r="E14" s="11"/>
      <c r="F14" s="11"/>
      <c r="G14" s="11"/>
    </row>
    <row r="15" spans="1:16" ht="15" customHeight="1" x14ac:dyDescent="0.25">
      <c r="A15" s="9" t="s">
        <v>359</v>
      </c>
      <c r="B15" s="9"/>
      <c r="C15" s="9"/>
      <c r="D15" s="9"/>
      <c r="E15" s="9"/>
      <c r="F15" s="9"/>
      <c r="G15" s="9"/>
    </row>
    <row r="16" spans="1:16" ht="15" customHeight="1" x14ac:dyDescent="0.25">
      <c r="A16" s="9" t="s">
        <v>358</v>
      </c>
      <c r="B16" s="9"/>
      <c r="C16" s="9"/>
      <c r="D16" s="9"/>
      <c r="E16" s="9"/>
      <c r="F16" s="9"/>
      <c r="G16" s="9"/>
    </row>
  </sheetData>
  <mergeCells count="5">
    <mergeCell ref="A16:G16"/>
    <mergeCell ref="A12:G12"/>
    <mergeCell ref="A13:G13"/>
    <mergeCell ref="A14:G14"/>
    <mergeCell ref="A15:G15"/>
  </mergeCells>
  <pageMargins left="0.7" right="0.7" top="0.75" bottom="0.75" header="0.3" footer="0.3"/>
  <pageSetup paperSize="9" orientation="portrait" horizontalDpi="300" verticalDpi="300"/>
  <headerFooter scaleWithDoc="0" alignWithMargins="0">
    <oddHeader>&amp;L&amp;CResults of variance component analyses using all models on the GS20K&amp;R</oddHeader>
  </headerFooter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A5" sqref="A5"/>
    </sheetView>
  </sheetViews>
  <sheetFormatPr defaultColWidth="8.85546875" defaultRowHeight="15" x14ac:dyDescent="0.25"/>
  <cols>
    <col min="1" max="1" width="25.7109375" customWidth="1"/>
    <col min="2" max="2" width="10.7109375" customWidth="1"/>
    <col min="3" max="3" width="6.7109375" customWidth="1"/>
    <col min="4" max="4" width="10.7109375" customWidth="1"/>
    <col min="5" max="5" width="6.7109375" customWidth="1"/>
    <col min="6" max="6" width="10.7109375" customWidth="1"/>
    <col min="7" max="7" width="6.7109375" customWidth="1"/>
    <col min="8" max="8" width="13.7109375" customWidth="1"/>
    <col min="9" max="9" width="7.7109375" customWidth="1"/>
    <col min="10" max="10" width="11.7109375" customWidth="1"/>
    <col min="11" max="11" width="6.7109375" customWidth="1"/>
    <col min="12" max="14" width="11.7109375" customWidth="1"/>
    <col min="15" max="16" width="8.7109375" customWidth="1"/>
    <col min="17" max="97" width="9.140625" customWidth="1"/>
  </cols>
  <sheetData>
    <row r="1" spans="1:16" x14ac:dyDescent="0.25">
      <c r="A1" t="s">
        <v>0</v>
      </c>
      <c r="B1" t="s">
        <v>343</v>
      </c>
      <c r="C1" t="s">
        <v>344</v>
      </c>
      <c r="D1" t="s">
        <v>345</v>
      </c>
      <c r="E1" t="s">
        <v>346</v>
      </c>
      <c r="F1" t="s">
        <v>347</v>
      </c>
      <c r="G1" t="s">
        <v>348</v>
      </c>
      <c r="H1" t="s">
        <v>349</v>
      </c>
      <c r="I1" t="s">
        <v>350</v>
      </c>
      <c r="J1" t="s">
        <v>351</v>
      </c>
      <c r="K1" t="s">
        <v>352</v>
      </c>
      <c r="L1" t="s">
        <v>355</v>
      </c>
      <c r="M1" t="s">
        <v>356</v>
      </c>
      <c r="N1" t="s">
        <v>357</v>
      </c>
      <c r="O1" t="s">
        <v>1</v>
      </c>
      <c r="P1" t="s">
        <v>2</v>
      </c>
    </row>
    <row r="2" spans="1:16" x14ac:dyDescent="0.25">
      <c r="A2" t="s">
        <v>3</v>
      </c>
      <c r="B2" t="s">
        <v>27</v>
      </c>
      <c r="C2" t="s">
        <v>10</v>
      </c>
      <c r="D2" t="s">
        <v>20</v>
      </c>
      <c r="E2" t="s">
        <v>10</v>
      </c>
      <c r="F2" t="s">
        <v>8</v>
      </c>
      <c r="G2" t="s">
        <v>5</v>
      </c>
      <c r="H2" t="s">
        <v>129</v>
      </c>
      <c r="I2" t="s">
        <v>5</v>
      </c>
      <c r="J2" t="s">
        <v>22</v>
      </c>
      <c r="K2" t="s">
        <v>10</v>
      </c>
      <c r="L2">
        <f>(Table27[[#This Row],[F Variance]])*100</f>
        <v>23</v>
      </c>
      <c r="M2">
        <f>(Table27[[#This Row],[S Variance]])*100</f>
        <v>11</v>
      </c>
      <c r="N2">
        <f>(Table27[[#This Row],[C Variance]])*100</f>
        <v>0</v>
      </c>
      <c r="O2" t="s">
        <v>297</v>
      </c>
      <c r="P2" t="s">
        <v>16</v>
      </c>
    </row>
    <row r="3" spans="1:16" x14ac:dyDescent="0.25">
      <c r="A3" t="s">
        <v>17</v>
      </c>
      <c r="B3" t="s">
        <v>34</v>
      </c>
      <c r="C3" t="s">
        <v>10</v>
      </c>
      <c r="D3" t="s">
        <v>18</v>
      </c>
      <c r="E3" t="s">
        <v>5</v>
      </c>
      <c r="F3" t="s">
        <v>18</v>
      </c>
      <c r="G3" t="s">
        <v>5</v>
      </c>
      <c r="H3" t="s">
        <v>48</v>
      </c>
      <c r="I3" t="s">
        <v>5</v>
      </c>
      <c r="J3" t="s">
        <v>22</v>
      </c>
      <c r="K3" t="s">
        <v>10</v>
      </c>
      <c r="L3">
        <f>(Table27[[#This Row],[F Variance]])*100</f>
        <v>20</v>
      </c>
      <c r="M3">
        <f>(Table27[[#This Row],[S Variance]])*100</f>
        <v>13</v>
      </c>
      <c r="N3">
        <f>(Table27[[#This Row],[C Variance]])*100</f>
        <v>13</v>
      </c>
      <c r="O3" t="s">
        <v>298</v>
      </c>
      <c r="P3" t="s">
        <v>25</v>
      </c>
    </row>
    <row r="4" spans="1:16" x14ac:dyDescent="0.25">
      <c r="A4" t="s">
        <v>26</v>
      </c>
      <c r="B4" t="s">
        <v>177</v>
      </c>
      <c r="C4" t="s">
        <v>10</v>
      </c>
      <c r="D4" t="s">
        <v>9</v>
      </c>
      <c r="E4" t="s">
        <v>10</v>
      </c>
      <c r="F4" t="s">
        <v>227</v>
      </c>
      <c r="G4" t="s">
        <v>5</v>
      </c>
      <c r="H4" t="s">
        <v>64</v>
      </c>
      <c r="I4" t="s">
        <v>5</v>
      </c>
      <c r="J4" t="s">
        <v>14</v>
      </c>
      <c r="K4" t="s">
        <v>10</v>
      </c>
      <c r="L4">
        <f>(Table27[[#This Row],[F Variance]])*100</f>
        <v>25</v>
      </c>
      <c r="M4">
        <f>(Table27[[#This Row],[S Variance]])*100</f>
        <v>9</v>
      </c>
      <c r="N4">
        <f>(Table27[[#This Row],[C Variance]])*100</f>
        <v>4</v>
      </c>
      <c r="O4" t="s">
        <v>299</v>
      </c>
      <c r="P4" t="s">
        <v>32</v>
      </c>
    </row>
    <row r="5" spans="1:16" x14ac:dyDescent="0.25">
      <c r="A5" t="s">
        <v>33</v>
      </c>
      <c r="B5" t="s">
        <v>52</v>
      </c>
      <c r="C5" t="s">
        <v>10</v>
      </c>
      <c r="D5" t="s">
        <v>9</v>
      </c>
      <c r="E5" t="s">
        <v>5</v>
      </c>
      <c r="F5" t="s">
        <v>8</v>
      </c>
      <c r="G5" t="s">
        <v>5</v>
      </c>
      <c r="H5" t="s">
        <v>172</v>
      </c>
      <c r="I5" t="s">
        <v>12</v>
      </c>
      <c r="J5" t="s">
        <v>22</v>
      </c>
      <c r="K5" t="s">
        <v>10</v>
      </c>
      <c r="L5">
        <f>(Table27[[#This Row],[F Variance]])*100</f>
        <v>15</v>
      </c>
      <c r="M5">
        <f>(Table27[[#This Row],[S Variance]])*100</f>
        <v>9</v>
      </c>
      <c r="N5">
        <f>(Table27[[#This Row],[C Variance]])*100</f>
        <v>0</v>
      </c>
      <c r="O5" t="s">
        <v>300</v>
      </c>
      <c r="P5" t="s">
        <v>39</v>
      </c>
    </row>
    <row r="6" spans="1:16" x14ac:dyDescent="0.25">
      <c r="A6" t="s">
        <v>40</v>
      </c>
      <c r="B6" t="s">
        <v>145</v>
      </c>
      <c r="C6" t="s">
        <v>10</v>
      </c>
      <c r="D6" t="s">
        <v>136</v>
      </c>
      <c r="E6" t="s">
        <v>5</v>
      </c>
      <c r="F6" t="s">
        <v>8</v>
      </c>
      <c r="G6" t="s">
        <v>5</v>
      </c>
      <c r="H6" t="s">
        <v>121</v>
      </c>
      <c r="I6" t="s">
        <v>12</v>
      </c>
      <c r="J6" t="s">
        <v>22</v>
      </c>
      <c r="K6" t="s">
        <v>10</v>
      </c>
      <c r="L6">
        <f>(Table27[[#This Row],[F Variance]])*100</f>
        <v>19</v>
      </c>
      <c r="M6">
        <f>(Table27[[#This Row],[S Variance]])*100</f>
        <v>3</v>
      </c>
      <c r="N6">
        <f>(Table27[[#This Row],[C Variance]])*100</f>
        <v>0</v>
      </c>
      <c r="O6" t="s">
        <v>301</v>
      </c>
      <c r="P6" t="s">
        <v>45</v>
      </c>
    </row>
    <row r="7" spans="1:16" x14ac:dyDescent="0.25">
      <c r="A7" t="s">
        <v>46</v>
      </c>
      <c r="B7" t="s">
        <v>20</v>
      </c>
      <c r="C7" t="s">
        <v>10</v>
      </c>
      <c r="D7" t="s">
        <v>183</v>
      </c>
      <c r="E7" t="s">
        <v>5</v>
      </c>
      <c r="F7" t="s">
        <v>8</v>
      </c>
      <c r="G7" t="s">
        <v>5</v>
      </c>
      <c r="H7" t="s">
        <v>108</v>
      </c>
      <c r="I7" t="s">
        <v>12</v>
      </c>
      <c r="J7" t="s">
        <v>14</v>
      </c>
      <c r="K7" t="s">
        <v>10</v>
      </c>
      <c r="L7">
        <f>(Table27[[#This Row],[F Variance]])*100</f>
        <v>11</v>
      </c>
      <c r="M7">
        <f>(Table27[[#This Row],[S Variance]])*100</f>
        <v>1</v>
      </c>
      <c r="N7">
        <f>(Table27[[#This Row],[C Variance]])*100</f>
        <v>0</v>
      </c>
      <c r="O7" t="s">
        <v>302</v>
      </c>
      <c r="P7" t="s">
        <v>50</v>
      </c>
    </row>
    <row r="8" spans="1:16" x14ac:dyDescent="0.25">
      <c r="A8" t="s">
        <v>51</v>
      </c>
      <c r="B8" t="s">
        <v>35</v>
      </c>
      <c r="C8" t="s">
        <v>10</v>
      </c>
      <c r="D8" t="s">
        <v>8</v>
      </c>
      <c r="E8" t="s">
        <v>5</v>
      </c>
      <c r="F8" t="s">
        <v>8</v>
      </c>
      <c r="G8" t="s">
        <v>12</v>
      </c>
      <c r="H8" t="s">
        <v>303</v>
      </c>
      <c r="I8" t="s">
        <v>12</v>
      </c>
      <c r="J8" t="s">
        <v>14</v>
      </c>
      <c r="K8" t="s">
        <v>10</v>
      </c>
      <c r="L8">
        <f>(Table27[[#This Row],[F Variance]])*100</f>
        <v>8</v>
      </c>
      <c r="M8">
        <f>(Table27[[#This Row],[S Variance]])*100</f>
        <v>0</v>
      </c>
      <c r="N8">
        <f>(Table27[[#This Row],[C Variance]])*100</f>
        <v>0</v>
      </c>
      <c r="O8" t="s">
        <v>304</v>
      </c>
      <c r="P8" t="s">
        <v>55</v>
      </c>
    </row>
    <row r="9" spans="1:16" x14ac:dyDescent="0.25">
      <c r="A9" t="s">
        <v>56</v>
      </c>
      <c r="B9" t="s">
        <v>20</v>
      </c>
      <c r="C9" t="s">
        <v>10</v>
      </c>
      <c r="D9" t="s">
        <v>8</v>
      </c>
      <c r="E9" t="s">
        <v>5</v>
      </c>
      <c r="F9" t="s">
        <v>8</v>
      </c>
      <c r="G9" t="s">
        <v>5</v>
      </c>
      <c r="H9" t="s">
        <v>305</v>
      </c>
      <c r="I9" t="s">
        <v>12</v>
      </c>
      <c r="J9" t="s">
        <v>22</v>
      </c>
      <c r="K9" t="s">
        <v>10</v>
      </c>
      <c r="L9">
        <f>(Table27[[#This Row],[F Variance]])*100</f>
        <v>11</v>
      </c>
      <c r="M9">
        <f>(Table27[[#This Row],[S Variance]])*100</f>
        <v>0</v>
      </c>
      <c r="N9">
        <f>(Table27[[#This Row],[C Variance]])*100</f>
        <v>0</v>
      </c>
      <c r="O9" t="s">
        <v>306</v>
      </c>
      <c r="P9" t="s">
        <v>60</v>
      </c>
    </row>
    <row r="12" spans="1:16" ht="15" customHeight="1" x14ac:dyDescent="0.25">
      <c r="A12" s="9" t="s">
        <v>362</v>
      </c>
      <c r="B12" s="9"/>
      <c r="C12" s="9"/>
      <c r="D12" s="9"/>
      <c r="E12" s="9"/>
      <c r="F12" s="9"/>
      <c r="G12" s="9"/>
    </row>
    <row r="13" spans="1:16" ht="15" customHeight="1" x14ac:dyDescent="0.25">
      <c r="A13" s="11" t="s">
        <v>363</v>
      </c>
      <c r="B13" s="11"/>
      <c r="C13" s="11"/>
      <c r="D13" s="11"/>
      <c r="E13" s="11"/>
      <c r="F13" s="11"/>
      <c r="G13" s="11"/>
    </row>
    <row r="14" spans="1:16" x14ac:dyDescent="0.25">
      <c r="A14" s="11" t="s">
        <v>364</v>
      </c>
      <c r="B14" s="11"/>
      <c r="C14" s="11"/>
      <c r="D14" s="11"/>
      <c r="E14" s="11"/>
      <c r="F14" s="11"/>
      <c r="G14" s="11"/>
    </row>
    <row r="15" spans="1:16" ht="15" customHeight="1" x14ac:dyDescent="0.25">
      <c r="A15" s="9" t="s">
        <v>359</v>
      </c>
      <c r="B15" s="9"/>
      <c r="C15" s="9"/>
      <c r="D15" s="9"/>
      <c r="E15" s="9"/>
      <c r="F15" s="9"/>
      <c r="G15" s="9"/>
    </row>
    <row r="16" spans="1:16" ht="15" customHeight="1" x14ac:dyDescent="0.25">
      <c r="A16" s="9" t="s">
        <v>358</v>
      </c>
      <c r="B16" s="9"/>
      <c r="C16" s="9"/>
      <c r="D16" s="9"/>
      <c r="E16" s="9"/>
      <c r="F16" s="9"/>
      <c r="G16" s="9"/>
    </row>
  </sheetData>
  <mergeCells count="5">
    <mergeCell ref="A16:G16"/>
    <mergeCell ref="A12:G12"/>
    <mergeCell ref="A13:G13"/>
    <mergeCell ref="A14:G14"/>
    <mergeCell ref="A15:G15"/>
  </mergeCells>
  <pageMargins left="0.7" right="0.7" top="0.75" bottom="0.75" header="0.3" footer="0.3"/>
  <pageSetup paperSize="9" orientation="portrait" horizontalDpi="300" verticalDpi="300"/>
  <headerFooter scaleWithDoc="0" alignWithMargins="0">
    <oddHeader>&amp;L&amp;CResults of variance component analyses using all models on the GS20K&amp;R</oddHeader>
  </headerFooter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workbookViewId="0">
      <selection activeCell="N16" sqref="N16"/>
    </sheetView>
  </sheetViews>
  <sheetFormatPr defaultColWidth="8.85546875" defaultRowHeight="15" x14ac:dyDescent="0.25"/>
  <cols>
    <col min="1" max="1" width="25.7109375" customWidth="1"/>
    <col min="2" max="2" width="10.7109375" customWidth="1"/>
    <col min="3" max="3" width="6.7109375" customWidth="1"/>
    <col min="4" max="4" width="10.7109375" customWidth="1"/>
    <col min="5" max="5" width="6.7109375" customWidth="1"/>
    <col min="6" max="6" width="10.7109375" customWidth="1"/>
    <col min="7" max="7" width="6.7109375" customWidth="1"/>
    <col min="8" max="8" width="10.7109375" customWidth="1"/>
    <col min="9" max="9" width="6.7109375" customWidth="1"/>
    <col min="10" max="10" width="13.7109375" customWidth="1"/>
    <col min="11" max="11" width="7.7109375" customWidth="1"/>
    <col min="12" max="12" width="11.7109375" customWidth="1"/>
    <col min="13" max="13" width="6.7109375" customWidth="1"/>
    <col min="14" max="17" width="11.7109375" customWidth="1"/>
    <col min="18" max="19" width="8.7109375" customWidth="1"/>
    <col min="20" max="96" width="9.140625" customWidth="1"/>
  </cols>
  <sheetData>
    <row r="1" spans="1:19" x14ac:dyDescent="0.25">
      <c r="A1" t="s">
        <v>0</v>
      </c>
      <c r="B1" t="s">
        <v>339</v>
      </c>
      <c r="C1" t="s">
        <v>340</v>
      </c>
      <c r="D1" t="s">
        <v>343</v>
      </c>
      <c r="E1" t="s">
        <v>344</v>
      </c>
      <c r="F1" t="s">
        <v>345</v>
      </c>
      <c r="G1" t="s">
        <v>346</v>
      </c>
      <c r="H1" t="s">
        <v>347</v>
      </c>
      <c r="I1" t="s">
        <v>348</v>
      </c>
      <c r="J1" t="s">
        <v>349</v>
      </c>
      <c r="K1" t="s">
        <v>350</v>
      </c>
      <c r="L1" t="s">
        <v>351</v>
      </c>
      <c r="M1" t="s">
        <v>352</v>
      </c>
      <c r="N1" t="s">
        <v>353</v>
      </c>
      <c r="O1" t="s">
        <v>355</v>
      </c>
      <c r="P1" t="s">
        <v>356</v>
      </c>
      <c r="Q1" t="s">
        <v>357</v>
      </c>
      <c r="R1" t="s">
        <v>1</v>
      </c>
      <c r="S1" t="s">
        <v>2</v>
      </c>
    </row>
    <row r="2" spans="1:19" x14ac:dyDescent="0.25">
      <c r="A2" t="s">
        <v>3</v>
      </c>
      <c r="B2" t="s">
        <v>100</v>
      </c>
      <c r="C2" t="s">
        <v>5</v>
      </c>
      <c r="D2" t="s">
        <v>169</v>
      </c>
      <c r="E2" t="s">
        <v>10</v>
      </c>
      <c r="F2" t="s">
        <v>169</v>
      </c>
      <c r="G2" t="s">
        <v>10</v>
      </c>
      <c r="H2" t="s">
        <v>20</v>
      </c>
      <c r="I2" t="s">
        <v>5</v>
      </c>
      <c r="J2" t="s">
        <v>23</v>
      </c>
      <c r="K2" t="s">
        <v>12</v>
      </c>
      <c r="L2" t="s">
        <v>22</v>
      </c>
      <c r="M2" t="s">
        <v>10</v>
      </c>
      <c r="N2">
        <f>(Table28[[#This Row],[G Variance]])*100</f>
        <v>28.999999999999996</v>
      </c>
      <c r="O2">
        <f>(Table28[[#This Row],[F Variance]])*100</f>
        <v>10</v>
      </c>
      <c r="P2">
        <f>(Table28[[#This Row],[S Variance]])*100</f>
        <v>10</v>
      </c>
      <c r="Q2">
        <f>(Table28[[#This Row],[C Variance]])*100</f>
        <v>11</v>
      </c>
      <c r="R2" t="s">
        <v>307</v>
      </c>
      <c r="S2" t="s">
        <v>16</v>
      </c>
    </row>
    <row r="3" spans="1:19" x14ac:dyDescent="0.25">
      <c r="A3" t="s">
        <v>17</v>
      </c>
      <c r="B3" t="s">
        <v>120</v>
      </c>
      <c r="C3" t="s">
        <v>5</v>
      </c>
      <c r="D3" t="s">
        <v>9</v>
      </c>
      <c r="E3" t="s">
        <v>10</v>
      </c>
      <c r="F3" t="s">
        <v>18</v>
      </c>
      <c r="G3" t="s">
        <v>5</v>
      </c>
      <c r="H3" t="s">
        <v>120</v>
      </c>
      <c r="I3" t="s">
        <v>5</v>
      </c>
      <c r="J3" t="s">
        <v>69</v>
      </c>
      <c r="K3" t="s">
        <v>12</v>
      </c>
      <c r="L3" t="s">
        <v>14</v>
      </c>
      <c r="M3" t="s">
        <v>10</v>
      </c>
      <c r="N3">
        <f>(Table28[[#This Row],[G Variance]])*100</f>
        <v>22</v>
      </c>
      <c r="O3">
        <f>(Table28[[#This Row],[F Variance]])*100</f>
        <v>9</v>
      </c>
      <c r="P3">
        <f>(Table28[[#This Row],[S Variance]])*100</f>
        <v>13</v>
      </c>
      <c r="Q3">
        <f>(Table28[[#This Row],[C Variance]])*100</f>
        <v>22</v>
      </c>
      <c r="R3" t="s">
        <v>308</v>
      </c>
      <c r="S3" t="s">
        <v>25</v>
      </c>
    </row>
    <row r="4" spans="1:19" x14ac:dyDescent="0.25">
      <c r="A4" t="s">
        <v>26</v>
      </c>
      <c r="B4" t="s">
        <v>37</v>
      </c>
      <c r="C4" t="s">
        <v>5</v>
      </c>
      <c r="D4" t="s">
        <v>169</v>
      </c>
      <c r="E4" t="s">
        <v>10</v>
      </c>
      <c r="F4" t="s">
        <v>35</v>
      </c>
      <c r="G4" t="s">
        <v>10</v>
      </c>
      <c r="H4" t="s">
        <v>36</v>
      </c>
      <c r="I4" t="s">
        <v>5</v>
      </c>
      <c r="J4" t="s">
        <v>37</v>
      </c>
      <c r="K4" t="s">
        <v>12</v>
      </c>
      <c r="L4" t="s">
        <v>14</v>
      </c>
      <c r="M4" t="s">
        <v>10</v>
      </c>
      <c r="N4">
        <f>(Table28[[#This Row],[G Variance]])*100</f>
        <v>32</v>
      </c>
      <c r="O4">
        <f>(Table28[[#This Row],[F Variance]])*100</f>
        <v>10</v>
      </c>
      <c r="P4">
        <f>(Table28[[#This Row],[S Variance]])*100</f>
        <v>8</v>
      </c>
      <c r="Q4">
        <f>(Table28[[#This Row],[C Variance]])*100</f>
        <v>17</v>
      </c>
      <c r="R4" t="s">
        <v>309</v>
      </c>
      <c r="S4" t="s">
        <v>32</v>
      </c>
    </row>
    <row r="5" spans="1:19" s="7" customFormat="1" x14ac:dyDescent="0.25">
      <c r="A5" s="7" t="s">
        <v>33</v>
      </c>
      <c r="B5" s="6">
        <v>0.25</v>
      </c>
      <c r="C5" s="6" t="s">
        <v>5</v>
      </c>
      <c r="D5" s="6">
        <v>0.04</v>
      </c>
      <c r="E5" s="6" t="s">
        <v>10</v>
      </c>
      <c r="F5" s="6">
        <v>9.1999999999999998E-2</v>
      </c>
      <c r="G5" s="6" t="s">
        <v>365</v>
      </c>
      <c r="H5" s="6">
        <v>0.09</v>
      </c>
      <c r="I5" s="6" t="s">
        <v>5</v>
      </c>
      <c r="J5" s="6">
        <v>0.53</v>
      </c>
      <c r="K5" s="6" t="s">
        <v>12</v>
      </c>
      <c r="L5" s="6" t="s">
        <v>22</v>
      </c>
      <c r="M5" s="6" t="s">
        <v>10</v>
      </c>
      <c r="N5" s="8">
        <f>(Table28[[#This Row],[G Variance]])*100</f>
        <v>25</v>
      </c>
      <c r="O5" s="8">
        <f>(Table28[[#This Row],[F Variance]])*100</f>
        <v>4</v>
      </c>
      <c r="P5" s="8">
        <f>(Table28[[#This Row],[S Variance]])*100</f>
        <v>9.1999999999999993</v>
      </c>
      <c r="Q5" s="8">
        <f>(Table28[[#This Row],[C Variance]])*100</f>
        <v>9</v>
      </c>
      <c r="R5" s="6">
        <v>-9221.34</v>
      </c>
      <c r="S5" s="6">
        <v>19385</v>
      </c>
    </row>
    <row r="6" spans="1:19" x14ac:dyDescent="0.25">
      <c r="A6" t="s">
        <v>40</v>
      </c>
      <c r="B6" t="s">
        <v>27</v>
      </c>
      <c r="C6" t="s">
        <v>5</v>
      </c>
      <c r="D6" t="s">
        <v>169</v>
      </c>
      <c r="E6" t="s">
        <v>10</v>
      </c>
      <c r="F6" t="s">
        <v>42</v>
      </c>
      <c r="G6" t="s">
        <v>10</v>
      </c>
      <c r="H6" t="s">
        <v>227</v>
      </c>
      <c r="I6" t="s">
        <v>5</v>
      </c>
      <c r="J6" t="s">
        <v>79</v>
      </c>
      <c r="K6" t="s">
        <v>12</v>
      </c>
      <c r="L6" t="s">
        <v>22</v>
      </c>
      <c r="M6" t="s">
        <v>10</v>
      </c>
      <c r="N6">
        <f>(Table28[[#This Row],[G Variance]])*100</f>
        <v>23</v>
      </c>
      <c r="O6">
        <f>(Table28[[#This Row],[F Variance]])*100</f>
        <v>10</v>
      </c>
      <c r="P6">
        <f>(Table28[[#This Row],[S Variance]])*100</f>
        <v>5</v>
      </c>
      <c r="Q6">
        <f>(Table28[[#This Row],[C Variance]])*100</f>
        <v>4</v>
      </c>
      <c r="R6" t="s">
        <v>310</v>
      </c>
      <c r="S6" t="s">
        <v>45</v>
      </c>
    </row>
    <row r="7" spans="1:19" x14ac:dyDescent="0.25">
      <c r="A7" t="s">
        <v>46</v>
      </c>
      <c r="B7" t="s">
        <v>52</v>
      </c>
      <c r="C7" t="s">
        <v>5</v>
      </c>
      <c r="D7" t="s">
        <v>57</v>
      </c>
      <c r="E7" t="s">
        <v>10</v>
      </c>
      <c r="F7" t="s">
        <v>227</v>
      </c>
      <c r="G7" t="s">
        <v>5</v>
      </c>
      <c r="H7" t="s">
        <v>8</v>
      </c>
      <c r="I7" t="s">
        <v>12</v>
      </c>
      <c r="J7" t="s">
        <v>159</v>
      </c>
      <c r="K7" t="s">
        <v>12</v>
      </c>
      <c r="L7" t="s">
        <v>22</v>
      </c>
      <c r="M7" t="s">
        <v>10</v>
      </c>
      <c r="N7">
        <f>(Table28[[#This Row],[G Variance]])*100</f>
        <v>15</v>
      </c>
      <c r="O7">
        <f>(Table28[[#This Row],[F Variance]])*100</f>
        <v>7.0000000000000009</v>
      </c>
      <c r="P7">
        <f>(Table28[[#This Row],[S Variance]])*100</f>
        <v>4</v>
      </c>
      <c r="Q7">
        <f>(Table28[[#This Row],[C Variance]])*100</f>
        <v>0</v>
      </c>
      <c r="R7" t="s">
        <v>311</v>
      </c>
      <c r="S7" t="s">
        <v>50</v>
      </c>
    </row>
    <row r="8" spans="1:19" x14ac:dyDescent="0.25">
      <c r="A8" t="s">
        <v>51</v>
      </c>
      <c r="B8" t="s">
        <v>20</v>
      </c>
      <c r="C8" t="s">
        <v>5</v>
      </c>
      <c r="D8" t="s">
        <v>28</v>
      </c>
      <c r="E8" t="s">
        <v>10</v>
      </c>
      <c r="F8" t="s">
        <v>8</v>
      </c>
      <c r="G8" t="s">
        <v>5</v>
      </c>
      <c r="H8" t="s">
        <v>8</v>
      </c>
      <c r="I8" t="s">
        <v>12</v>
      </c>
      <c r="J8" t="s">
        <v>229</v>
      </c>
      <c r="K8" t="s">
        <v>12</v>
      </c>
      <c r="L8" t="s">
        <v>22</v>
      </c>
      <c r="M8" t="s">
        <v>10</v>
      </c>
      <c r="N8">
        <f>(Table28[[#This Row],[G Variance]])*100</f>
        <v>11</v>
      </c>
      <c r="O8">
        <f>(Table28[[#This Row],[F Variance]])*100</f>
        <v>6</v>
      </c>
      <c r="P8">
        <f>(Table28[[#This Row],[S Variance]])*100</f>
        <v>0</v>
      </c>
      <c r="Q8">
        <f>(Table28[[#This Row],[C Variance]])*100</f>
        <v>0</v>
      </c>
      <c r="R8" t="s">
        <v>312</v>
      </c>
      <c r="S8" t="s">
        <v>55</v>
      </c>
    </row>
    <row r="9" spans="1:19" x14ac:dyDescent="0.25">
      <c r="A9" t="s">
        <v>56</v>
      </c>
      <c r="B9" t="s">
        <v>20</v>
      </c>
      <c r="C9" t="s">
        <v>5</v>
      </c>
      <c r="D9" t="s">
        <v>9</v>
      </c>
      <c r="E9" t="s">
        <v>10</v>
      </c>
      <c r="F9" t="s">
        <v>8</v>
      </c>
      <c r="G9" t="s">
        <v>10</v>
      </c>
      <c r="H9" t="s">
        <v>8</v>
      </c>
      <c r="I9" t="s">
        <v>12</v>
      </c>
      <c r="J9" t="s">
        <v>102</v>
      </c>
      <c r="K9" t="s">
        <v>12</v>
      </c>
      <c r="L9" t="s">
        <v>22</v>
      </c>
      <c r="M9" t="s">
        <v>10</v>
      </c>
      <c r="N9">
        <f>(Table28[[#This Row],[G Variance]])*100</f>
        <v>11</v>
      </c>
      <c r="O9">
        <f>(Table28[[#This Row],[F Variance]])*100</f>
        <v>9</v>
      </c>
      <c r="P9">
        <f>(Table28[[#This Row],[S Variance]])*100</f>
        <v>0</v>
      </c>
      <c r="Q9">
        <f>(Table28[[#This Row],[C Variance]])*100</f>
        <v>0</v>
      </c>
      <c r="R9" t="s">
        <v>313</v>
      </c>
      <c r="S9" t="s">
        <v>60</v>
      </c>
    </row>
    <row r="13" spans="1:19" ht="15" customHeight="1" x14ac:dyDescent="0.25">
      <c r="A13" s="9" t="s">
        <v>360</v>
      </c>
      <c r="B13" s="9"/>
      <c r="C13" s="9"/>
      <c r="D13" s="9"/>
      <c r="E13" s="9"/>
      <c r="F13" s="9"/>
      <c r="G13" s="9"/>
    </row>
    <row r="14" spans="1:19" ht="15" customHeight="1" x14ac:dyDescent="0.25">
      <c r="A14" s="9" t="s">
        <v>362</v>
      </c>
      <c r="B14" s="9"/>
      <c r="C14" s="9"/>
      <c r="D14" s="9"/>
      <c r="E14" s="9"/>
      <c r="F14" s="9"/>
      <c r="G14" s="9"/>
    </row>
    <row r="15" spans="1:19" ht="18" customHeight="1" x14ac:dyDescent="0.25">
      <c r="A15" s="10" t="s">
        <v>363</v>
      </c>
      <c r="B15" s="10"/>
      <c r="C15" s="10"/>
      <c r="D15" s="10"/>
      <c r="E15" s="10"/>
      <c r="F15" s="10"/>
      <c r="G15" s="10"/>
    </row>
    <row r="16" spans="1:19" ht="15" customHeight="1" x14ac:dyDescent="0.25">
      <c r="A16" s="9" t="s">
        <v>364</v>
      </c>
      <c r="B16" s="9"/>
      <c r="C16" s="9"/>
      <c r="D16" s="9"/>
      <c r="E16" s="9"/>
      <c r="F16" s="9"/>
      <c r="G16" s="9"/>
    </row>
    <row r="17" spans="1:7" ht="15" customHeight="1" x14ac:dyDescent="0.25">
      <c r="A17" s="9" t="s">
        <v>359</v>
      </c>
      <c r="B17" s="9"/>
      <c r="C17" s="9"/>
      <c r="D17" s="9"/>
      <c r="E17" s="9"/>
      <c r="F17" s="9"/>
      <c r="G17" s="9"/>
    </row>
    <row r="18" spans="1:7" ht="15" customHeight="1" x14ac:dyDescent="0.25">
      <c r="A18" s="9" t="s">
        <v>358</v>
      </c>
      <c r="B18" s="9"/>
      <c r="C18" s="9"/>
      <c r="D18" s="9"/>
      <c r="E18" s="9"/>
      <c r="F18" s="9"/>
      <c r="G18" s="9"/>
    </row>
  </sheetData>
  <mergeCells count="6">
    <mergeCell ref="A16:G16"/>
    <mergeCell ref="A17:G17"/>
    <mergeCell ref="A18:G18"/>
    <mergeCell ref="A13:G13"/>
    <mergeCell ref="A14:G14"/>
    <mergeCell ref="A15:G15"/>
  </mergeCells>
  <pageMargins left="0.7" right="0.7" top="0.75" bottom="0.75" header="0.3" footer="0.3"/>
  <pageSetup paperSize="9" orientation="portrait" horizontalDpi="300" verticalDpi="300" r:id="rId1"/>
  <headerFooter scaleWithDoc="0" alignWithMargins="0">
    <oddHeader>&amp;L&amp;CResults of variance component analyses using all models on the GS20K&amp;R</oddHead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A5" sqref="A5"/>
    </sheetView>
  </sheetViews>
  <sheetFormatPr defaultColWidth="8.85546875" defaultRowHeight="15" x14ac:dyDescent="0.25"/>
  <cols>
    <col min="1" max="1" width="25.7109375" customWidth="1"/>
    <col min="2" max="2" width="10.7109375" customWidth="1"/>
    <col min="3" max="3" width="6.7109375" customWidth="1"/>
    <col min="4" max="4" width="10.7109375" customWidth="1"/>
    <col min="5" max="5" width="6.7109375" customWidth="1"/>
    <col min="6" max="6" width="10.7109375" customWidth="1"/>
    <col min="7" max="7" width="6.7109375" customWidth="1"/>
    <col min="8" max="8" width="10.7109375" customWidth="1"/>
    <col min="9" max="9" width="6.7109375" customWidth="1"/>
    <col min="10" max="10" width="13.7109375" customWidth="1"/>
    <col min="11" max="11" width="7.7109375" customWidth="1"/>
    <col min="12" max="12" width="11.7109375" customWidth="1"/>
    <col min="13" max="13" width="6.7109375" customWidth="1"/>
    <col min="14" max="17" width="11.7109375" customWidth="1"/>
    <col min="18" max="19" width="8.7109375" customWidth="1"/>
    <col min="20" max="96" width="9.140625" customWidth="1"/>
  </cols>
  <sheetData>
    <row r="1" spans="1:19" x14ac:dyDescent="0.25">
      <c r="A1" t="s">
        <v>0</v>
      </c>
      <c r="B1" t="s">
        <v>339</v>
      </c>
      <c r="C1" t="s">
        <v>340</v>
      </c>
      <c r="D1" t="s">
        <v>341</v>
      </c>
      <c r="E1" t="s">
        <v>342</v>
      </c>
      <c r="F1" t="s">
        <v>343</v>
      </c>
      <c r="G1" t="s">
        <v>344</v>
      </c>
      <c r="H1" t="s">
        <v>347</v>
      </c>
      <c r="I1" t="s">
        <v>348</v>
      </c>
      <c r="J1" t="s">
        <v>349</v>
      </c>
      <c r="K1" t="s">
        <v>350</v>
      </c>
      <c r="L1" t="s">
        <v>351</v>
      </c>
      <c r="M1" t="s">
        <v>352</v>
      </c>
      <c r="N1" t="s">
        <v>353</v>
      </c>
      <c r="O1" t="s">
        <v>354</v>
      </c>
      <c r="P1" t="s">
        <v>355</v>
      </c>
      <c r="Q1" t="s">
        <v>357</v>
      </c>
      <c r="R1" t="s">
        <v>1</v>
      </c>
      <c r="S1" t="s">
        <v>2</v>
      </c>
    </row>
    <row r="2" spans="1:19" x14ac:dyDescent="0.25">
      <c r="A2" t="s">
        <v>3</v>
      </c>
      <c r="B2" t="s">
        <v>120</v>
      </c>
      <c r="C2" t="s">
        <v>5</v>
      </c>
      <c r="D2" t="s">
        <v>6</v>
      </c>
      <c r="E2" t="s">
        <v>7</v>
      </c>
      <c r="F2" t="s">
        <v>8</v>
      </c>
      <c r="G2" t="s">
        <v>5</v>
      </c>
      <c r="H2" t="s">
        <v>11</v>
      </c>
      <c r="I2" t="s">
        <v>12</v>
      </c>
      <c r="J2" t="s">
        <v>20</v>
      </c>
      <c r="K2" t="s">
        <v>7</v>
      </c>
      <c r="L2" t="s">
        <v>22</v>
      </c>
      <c r="M2" t="s">
        <v>10</v>
      </c>
      <c r="N2">
        <f>(Table29[[#This Row],[G Variance]])*100</f>
        <v>22</v>
      </c>
      <c r="O2">
        <f>(Table29[[#This Row],[K Variance]])*100</f>
        <v>41</v>
      </c>
      <c r="P2">
        <f>(Table29[[#This Row],[F Variance]])*100</f>
        <v>0</v>
      </c>
      <c r="Q2">
        <f>(Table29[[#This Row],[C Variance]])*100</f>
        <v>26</v>
      </c>
      <c r="R2" t="s">
        <v>314</v>
      </c>
      <c r="S2" t="s">
        <v>16</v>
      </c>
    </row>
    <row r="3" spans="1:19" x14ac:dyDescent="0.25">
      <c r="A3" t="s">
        <v>17</v>
      </c>
      <c r="B3" t="s">
        <v>52</v>
      </c>
      <c r="C3" t="s">
        <v>5</v>
      </c>
      <c r="D3" t="s">
        <v>23</v>
      </c>
      <c r="E3" t="s">
        <v>7</v>
      </c>
      <c r="F3" t="s">
        <v>8</v>
      </c>
      <c r="G3" t="s">
        <v>5</v>
      </c>
      <c r="H3" t="s">
        <v>128</v>
      </c>
      <c r="I3" t="s">
        <v>12</v>
      </c>
      <c r="J3" t="s">
        <v>169</v>
      </c>
      <c r="K3" t="s">
        <v>7</v>
      </c>
      <c r="L3" t="s">
        <v>14</v>
      </c>
      <c r="M3" t="s">
        <v>10</v>
      </c>
      <c r="N3">
        <f>(Table29[[#This Row],[G Variance]])*100</f>
        <v>15</v>
      </c>
      <c r="O3">
        <f>(Table29[[#This Row],[K Variance]])*100</f>
        <v>39</v>
      </c>
      <c r="P3">
        <f>(Table29[[#This Row],[F Variance]])*100</f>
        <v>0</v>
      </c>
      <c r="Q3">
        <f>(Table29[[#This Row],[C Variance]])*100</f>
        <v>35</v>
      </c>
      <c r="R3" t="s">
        <v>315</v>
      </c>
      <c r="S3" t="s">
        <v>25</v>
      </c>
    </row>
    <row r="4" spans="1:19" x14ac:dyDescent="0.25">
      <c r="A4" t="s">
        <v>26</v>
      </c>
      <c r="B4" t="s">
        <v>177</v>
      </c>
      <c r="C4" t="s">
        <v>5</v>
      </c>
      <c r="D4" t="s">
        <v>23</v>
      </c>
      <c r="E4" t="s">
        <v>7</v>
      </c>
      <c r="F4" t="s">
        <v>8</v>
      </c>
      <c r="G4" t="s">
        <v>5</v>
      </c>
      <c r="H4" t="s">
        <v>30</v>
      </c>
      <c r="I4" t="s">
        <v>12</v>
      </c>
      <c r="J4" t="s">
        <v>42</v>
      </c>
      <c r="K4" t="s">
        <v>193</v>
      </c>
      <c r="L4" t="s">
        <v>14</v>
      </c>
      <c r="M4" t="s">
        <v>10</v>
      </c>
      <c r="N4">
        <f>(Table29[[#This Row],[G Variance]])*100</f>
        <v>25</v>
      </c>
      <c r="O4">
        <f>(Table29[[#This Row],[K Variance]])*100</f>
        <v>39</v>
      </c>
      <c r="P4">
        <f>(Table29[[#This Row],[F Variance]])*100</f>
        <v>0</v>
      </c>
      <c r="Q4">
        <f>(Table29[[#This Row],[C Variance]])*100</f>
        <v>31</v>
      </c>
      <c r="R4" t="s">
        <v>316</v>
      </c>
      <c r="S4" t="s">
        <v>32</v>
      </c>
    </row>
    <row r="5" spans="1:19" x14ac:dyDescent="0.25">
      <c r="A5" t="s">
        <v>33</v>
      </c>
      <c r="B5" t="s">
        <v>4</v>
      </c>
      <c r="C5" t="s">
        <v>5</v>
      </c>
      <c r="D5" t="s">
        <v>27</v>
      </c>
      <c r="E5" t="s">
        <v>7</v>
      </c>
      <c r="F5" t="s">
        <v>8</v>
      </c>
      <c r="G5" t="s">
        <v>5</v>
      </c>
      <c r="H5" t="s">
        <v>43</v>
      </c>
      <c r="I5" t="s">
        <v>12</v>
      </c>
      <c r="J5" t="s">
        <v>23</v>
      </c>
      <c r="K5" t="s">
        <v>7</v>
      </c>
      <c r="L5" t="s">
        <v>22</v>
      </c>
      <c r="M5" t="s">
        <v>10</v>
      </c>
      <c r="N5">
        <f>(Table29[[#This Row],[G Variance]])*100</f>
        <v>21</v>
      </c>
      <c r="O5">
        <f>(Table29[[#This Row],[K Variance]])*100</f>
        <v>23</v>
      </c>
      <c r="P5">
        <f>(Table29[[#This Row],[F Variance]])*100</f>
        <v>0</v>
      </c>
      <c r="Q5">
        <f>(Table29[[#This Row],[C Variance]])*100</f>
        <v>16</v>
      </c>
      <c r="R5" t="s">
        <v>317</v>
      </c>
      <c r="S5" t="s">
        <v>39</v>
      </c>
    </row>
    <row r="6" spans="1:19" x14ac:dyDescent="0.25">
      <c r="A6" t="s">
        <v>40</v>
      </c>
      <c r="B6" t="s">
        <v>145</v>
      </c>
      <c r="C6" t="s">
        <v>5</v>
      </c>
      <c r="D6" t="s">
        <v>29</v>
      </c>
      <c r="E6" t="s">
        <v>7</v>
      </c>
      <c r="F6" t="s">
        <v>183</v>
      </c>
      <c r="G6" t="s">
        <v>5</v>
      </c>
      <c r="H6" t="s">
        <v>52</v>
      </c>
      <c r="I6" t="s">
        <v>12</v>
      </c>
      <c r="J6" t="s">
        <v>21</v>
      </c>
      <c r="K6" t="s">
        <v>7</v>
      </c>
      <c r="L6" t="s">
        <v>22</v>
      </c>
      <c r="M6" t="s">
        <v>10</v>
      </c>
      <c r="N6">
        <f>(Table29[[#This Row],[G Variance]])*100</f>
        <v>19</v>
      </c>
      <c r="O6">
        <f>(Table29[[#This Row],[K Variance]])*100</f>
        <v>30</v>
      </c>
      <c r="P6">
        <f>(Table29[[#This Row],[F Variance]])*100</f>
        <v>1</v>
      </c>
      <c r="Q6">
        <f>(Table29[[#This Row],[C Variance]])*100</f>
        <v>15</v>
      </c>
      <c r="R6" t="s">
        <v>318</v>
      </c>
      <c r="S6" t="s">
        <v>45</v>
      </c>
    </row>
    <row r="7" spans="1:19" x14ac:dyDescent="0.25">
      <c r="A7" t="s">
        <v>46</v>
      </c>
      <c r="B7" t="s">
        <v>148</v>
      </c>
      <c r="C7" t="s">
        <v>5</v>
      </c>
      <c r="D7" t="s">
        <v>27</v>
      </c>
      <c r="E7" t="s">
        <v>7</v>
      </c>
      <c r="F7" t="s">
        <v>183</v>
      </c>
      <c r="G7" t="s">
        <v>5</v>
      </c>
      <c r="H7" t="s">
        <v>227</v>
      </c>
      <c r="I7" t="s">
        <v>12</v>
      </c>
      <c r="J7" t="s">
        <v>126</v>
      </c>
      <c r="K7" t="s">
        <v>7</v>
      </c>
      <c r="L7" t="s">
        <v>22</v>
      </c>
      <c r="M7" t="s">
        <v>10</v>
      </c>
      <c r="N7">
        <f>(Table29[[#This Row],[G Variance]])*100</f>
        <v>12</v>
      </c>
      <c r="O7">
        <f>(Table29[[#This Row],[K Variance]])*100</f>
        <v>23</v>
      </c>
      <c r="P7">
        <f>(Table29[[#This Row],[F Variance]])*100</f>
        <v>1</v>
      </c>
      <c r="Q7">
        <f>(Table29[[#This Row],[C Variance]])*100</f>
        <v>4</v>
      </c>
      <c r="R7" t="s">
        <v>319</v>
      </c>
      <c r="S7" t="s">
        <v>50</v>
      </c>
    </row>
    <row r="8" spans="1:19" x14ac:dyDescent="0.25">
      <c r="A8" t="s">
        <v>51</v>
      </c>
      <c r="B8" t="s">
        <v>20</v>
      </c>
      <c r="C8" t="s">
        <v>5</v>
      </c>
      <c r="D8" t="s">
        <v>52</v>
      </c>
      <c r="E8" t="s">
        <v>7</v>
      </c>
      <c r="F8" t="s">
        <v>13</v>
      </c>
      <c r="G8" t="s">
        <v>5</v>
      </c>
      <c r="H8" t="s">
        <v>8</v>
      </c>
      <c r="I8" t="s">
        <v>12</v>
      </c>
      <c r="J8" t="s">
        <v>53</v>
      </c>
      <c r="K8" t="s">
        <v>7</v>
      </c>
      <c r="L8" t="s">
        <v>22</v>
      </c>
      <c r="M8" t="s">
        <v>10</v>
      </c>
      <c r="N8">
        <f>(Table29[[#This Row],[G Variance]])*100</f>
        <v>11</v>
      </c>
      <c r="O8">
        <f>(Table29[[#This Row],[K Variance]])*100</f>
        <v>15</v>
      </c>
      <c r="P8">
        <f>(Table29[[#This Row],[F Variance]])*100</f>
        <v>2</v>
      </c>
      <c r="Q8">
        <f>(Table29[[#This Row],[C Variance]])*100</f>
        <v>0</v>
      </c>
      <c r="R8" t="s">
        <v>261</v>
      </c>
      <c r="S8" t="s">
        <v>55</v>
      </c>
    </row>
    <row r="9" spans="1:19" x14ac:dyDescent="0.25">
      <c r="A9" t="s">
        <v>56</v>
      </c>
      <c r="B9" t="s">
        <v>148</v>
      </c>
      <c r="C9" t="s">
        <v>5</v>
      </c>
      <c r="D9" t="s">
        <v>42</v>
      </c>
      <c r="E9" t="s">
        <v>7</v>
      </c>
      <c r="F9" t="s">
        <v>57</v>
      </c>
      <c r="G9" t="s">
        <v>5</v>
      </c>
      <c r="H9" t="s">
        <v>8</v>
      </c>
      <c r="I9" t="s">
        <v>12</v>
      </c>
      <c r="J9" t="s">
        <v>58</v>
      </c>
      <c r="K9" t="s">
        <v>7</v>
      </c>
      <c r="L9" t="s">
        <v>22</v>
      </c>
      <c r="M9" t="s">
        <v>10</v>
      </c>
      <c r="N9">
        <f>(Table29[[#This Row],[G Variance]])*100</f>
        <v>12</v>
      </c>
      <c r="O9">
        <f>(Table29[[#This Row],[K Variance]])*100</f>
        <v>5</v>
      </c>
      <c r="P9">
        <f>(Table29[[#This Row],[F Variance]])*100</f>
        <v>7.0000000000000009</v>
      </c>
      <c r="Q9">
        <f>(Table29[[#This Row],[C Variance]])*100</f>
        <v>0</v>
      </c>
      <c r="R9" t="s">
        <v>320</v>
      </c>
      <c r="S9" t="s">
        <v>60</v>
      </c>
    </row>
    <row r="12" spans="1:19" ht="15" customHeight="1" x14ac:dyDescent="0.25">
      <c r="A12" s="9" t="s">
        <v>360</v>
      </c>
      <c r="B12" s="9"/>
      <c r="C12" s="9"/>
      <c r="D12" s="9"/>
      <c r="E12" s="9"/>
      <c r="F12" s="9"/>
      <c r="G12" s="9"/>
    </row>
    <row r="13" spans="1:19" ht="15" customHeight="1" x14ac:dyDescent="0.25">
      <c r="A13" s="9" t="s">
        <v>361</v>
      </c>
      <c r="B13" s="9"/>
      <c r="C13" s="9"/>
      <c r="D13" s="9"/>
      <c r="E13" s="9"/>
      <c r="F13" s="9"/>
      <c r="G13" s="9"/>
    </row>
    <row r="14" spans="1:19" ht="15" customHeight="1" x14ac:dyDescent="0.25">
      <c r="A14" s="9" t="s">
        <v>362</v>
      </c>
      <c r="B14" s="9"/>
      <c r="C14" s="9"/>
      <c r="D14" s="9"/>
      <c r="E14" s="9"/>
      <c r="F14" s="9"/>
      <c r="G14" s="9"/>
    </row>
    <row r="15" spans="1:19" x14ac:dyDescent="0.25">
      <c r="A15" s="9" t="s">
        <v>364</v>
      </c>
      <c r="B15" s="9"/>
      <c r="C15" s="9"/>
      <c r="D15" s="9"/>
      <c r="E15" s="9"/>
      <c r="F15" s="9"/>
      <c r="G15" s="9"/>
    </row>
    <row r="16" spans="1:19" ht="15" customHeight="1" x14ac:dyDescent="0.25">
      <c r="A16" s="9" t="s">
        <v>359</v>
      </c>
      <c r="B16" s="9"/>
      <c r="C16" s="9"/>
      <c r="D16" s="9"/>
      <c r="E16" s="9"/>
      <c r="F16" s="9"/>
      <c r="G16" s="9"/>
    </row>
    <row r="17" spans="1:7" ht="15" customHeight="1" x14ac:dyDescent="0.25">
      <c r="A17" s="9" t="s">
        <v>358</v>
      </c>
      <c r="B17" s="9"/>
      <c r="C17" s="9"/>
      <c r="D17" s="9"/>
      <c r="E17" s="9"/>
      <c r="F17" s="9"/>
      <c r="G17" s="9"/>
    </row>
  </sheetData>
  <mergeCells count="6">
    <mergeCell ref="A15:G15"/>
    <mergeCell ref="A16:G16"/>
    <mergeCell ref="A17:G17"/>
    <mergeCell ref="A12:G12"/>
    <mergeCell ref="A13:G13"/>
    <mergeCell ref="A14:G14"/>
  </mergeCells>
  <pageMargins left="0.7" right="0.7" top="0.75" bottom="0.75" header="0.3" footer="0.3"/>
  <pageSetup paperSize="9" orientation="portrait" horizontalDpi="300" verticalDpi="300"/>
  <headerFooter scaleWithDoc="0" alignWithMargins="0">
    <oddHeader>&amp;L&amp;CResults of variance component analyses using all models on the GS20K&amp;R</oddHeader>
  </headerFooter>
  <tableParts count="1"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A12" sqref="A12:G17"/>
    </sheetView>
  </sheetViews>
  <sheetFormatPr defaultColWidth="8.85546875" defaultRowHeight="15" x14ac:dyDescent="0.25"/>
  <cols>
    <col min="1" max="1" width="25.7109375" customWidth="1"/>
    <col min="2" max="2" width="10.7109375" customWidth="1"/>
    <col min="3" max="3" width="6.7109375" customWidth="1"/>
    <col min="4" max="4" width="10.7109375" customWidth="1"/>
    <col min="5" max="5" width="6.7109375" customWidth="1"/>
    <col min="6" max="6" width="10.7109375" customWidth="1"/>
    <col min="7" max="7" width="6.7109375" customWidth="1"/>
    <col min="8" max="8" width="10.7109375" customWidth="1"/>
    <col min="9" max="9" width="6.7109375" customWidth="1"/>
    <col min="10" max="10" width="13.7109375" customWidth="1"/>
    <col min="11" max="11" width="7.7109375" customWidth="1"/>
    <col min="12" max="12" width="11.7109375" customWidth="1"/>
    <col min="13" max="13" width="6.7109375" customWidth="1"/>
    <col min="14" max="17" width="11.7109375" customWidth="1"/>
    <col min="18" max="19" width="8.7109375" customWidth="1"/>
    <col min="20" max="96" width="9.140625" customWidth="1"/>
  </cols>
  <sheetData>
    <row r="1" spans="1:19" x14ac:dyDescent="0.25">
      <c r="A1" t="s">
        <v>0</v>
      </c>
      <c r="B1" t="s">
        <v>339</v>
      </c>
      <c r="C1" t="s">
        <v>340</v>
      </c>
      <c r="D1" t="s">
        <v>341</v>
      </c>
      <c r="E1" t="s">
        <v>342</v>
      </c>
      <c r="F1" t="s">
        <v>343</v>
      </c>
      <c r="G1" t="s">
        <v>344</v>
      </c>
      <c r="H1" t="s">
        <v>345</v>
      </c>
      <c r="I1" t="s">
        <v>346</v>
      </c>
      <c r="J1" t="s">
        <v>349</v>
      </c>
      <c r="K1" t="s">
        <v>350</v>
      </c>
      <c r="L1" t="s">
        <v>351</v>
      </c>
      <c r="M1" t="s">
        <v>352</v>
      </c>
      <c r="N1" t="s">
        <v>353</v>
      </c>
      <c r="O1" t="s">
        <v>354</v>
      </c>
      <c r="P1" t="s">
        <v>355</v>
      </c>
      <c r="Q1" t="s">
        <v>356</v>
      </c>
      <c r="R1" t="s">
        <v>1</v>
      </c>
      <c r="S1" t="s">
        <v>2</v>
      </c>
    </row>
    <row r="2" spans="1:19" x14ac:dyDescent="0.25">
      <c r="A2" t="s">
        <v>3</v>
      </c>
      <c r="B2" t="s">
        <v>27</v>
      </c>
      <c r="C2" t="s">
        <v>5</v>
      </c>
      <c r="D2" t="s">
        <v>169</v>
      </c>
      <c r="E2" t="s">
        <v>193</v>
      </c>
      <c r="F2" t="s">
        <v>169</v>
      </c>
      <c r="G2" t="s">
        <v>5</v>
      </c>
      <c r="H2" t="s">
        <v>169</v>
      </c>
      <c r="I2" t="s">
        <v>10</v>
      </c>
      <c r="J2" t="s">
        <v>66</v>
      </c>
      <c r="K2" t="s">
        <v>5</v>
      </c>
      <c r="L2" t="s">
        <v>22</v>
      </c>
      <c r="M2" t="s">
        <v>10</v>
      </c>
      <c r="N2">
        <f>(Table30[[#This Row],[G Variance]])*100</f>
        <v>23</v>
      </c>
      <c r="O2">
        <f>(Table30[[#This Row],[K Variance]])*100</f>
        <v>10</v>
      </c>
      <c r="P2">
        <f>(Table30[[#This Row],[F Variance]])*100</f>
        <v>10</v>
      </c>
      <c r="Q2">
        <f>(Table30[[#This Row],[S Variance]])*100</f>
        <v>10</v>
      </c>
      <c r="R2" t="s">
        <v>321</v>
      </c>
      <c r="S2" t="s">
        <v>16</v>
      </c>
    </row>
    <row r="3" spans="1:19" x14ac:dyDescent="0.25">
      <c r="A3" t="s">
        <v>17</v>
      </c>
      <c r="B3" t="s">
        <v>43</v>
      </c>
      <c r="C3" t="s">
        <v>5</v>
      </c>
      <c r="D3" t="s">
        <v>8</v>
      </c>
      <c r="E3" t="s">
        <v>193</v>
      </c>
      <c r="F3" t="s">
        <v>52</v>
      </c>
      <c r="G3" t="s">
        <v>5</v>
      </c>
      <c r="H3" t="s">
        <v>20</v>
      </c>
      <c r="I3" t="s">
        <v>10</v>
      </c>
      <c r="J3" t="s">
        <v>210</v>
      </c>
      <c r="K3" t="s">
        <v>5</v>
      </c>
      <c r="L3" t="s">
        <v>22</v>
      </c>
      <c r="M3" t="s">
        <v>10</v>
      </c>
      <c r="N3">
        <f>(Table30[[#This Row],[G Variance]])*100</f>
        <v>16</v>
      </c>
      <c r="O3">
        <f>(Table30[[#This Row],[K Variance]])*100</f>
        <v>0</v>
      </c>
      <c r="P3">
        <f>(Table30[[#This Row],[F Variance]])*100</f>
        <v>15</v>
      </c>
      <c r="Q3">
        <f>(Table30[[#This Row],[S Variance]])*100</f>
        <v>11</v>
      </c>
      <c r="R3" t="s">
        <v>322</v>
      </c>
      <c r="S3" t="s">
        <v>25</v>
      </c>
    </row>
    <row r="4" spans="1:19" x14ac:dyDescent="0.25">
      <c r="A4" t="s">
        <v>26</v>
      </c>
      <c r="B4" t="s">
        <v>73</v>
      </c>
      <c r="C4" t="s">
        <v>5</v>
      </c>
      <c r="D4" t="s">
        <v>13</v>
      </c>
      <c r="E4" t="s">
        <v>193</v>
      </c>
      <c r="F4" t="s">
        <v>18</v>
      </c>
      <c r="G4" t="s">
        <v>5</v>
      </c>
      <c r="H4" t="s">
        <v>35</v>
      </c>
      <c r="I4" t="s">
        <v>10</v>
      </c>
      <c r="J4" t="s">
        <v>82</v>
      </c>
      <c r="K4" t="s">
        <v>5</v>
      </c>
      <c r="L4" t="s">
        <v>14</v>
      </c>
      <c r="M4" t="s">
        <v>10</v>
      </c>
      <c r="N4">
        <f>(Table30[[#This Row],[G Variance]])*100</f>
        <v>27</v>
      </c>
      <c r="O4">
        <f>(Table30[[#This Row],[K Variance]])*100</f>
        <v>2</v>
      </c>
      <c r="P4">
        <f>(Table30[[#This Row],[F Variance]])*100</f>
        <v>13</v>
      </c>
      <c r="Q4">
        <f>(Table30[[#This Row],[S Variance]])*100</f>
        <v>8</v>
      </c>
      <c r="R4" t="s">
        <v>323</v>
      </c>
      <c r="S4" t="s">
        <v>32</v>
      </c>
    </row>
    <row r="5" spans="1:19" x14ac:dyDescent="0.25">
      <c r="A5" t="s">
        <v>33</v>
      </c>
      <c r="B5" t="s">
        <v>120</v>
      </c>
      <c r="C5" t="s">
        <v>5</v>
      </c>
      <c r="D5" t="s">
        <v>57</v>
      </c>
      <c r="E5" t="s">
        <v>193</v>
      </c>
      <c r="F5" t="s">
        <v>136</v>
      </c>
      <c r="G5" t="s">
        <v>5</v>
      </c>
      <c r="H5" t="s">
        <v>35</v>
      </c>
      <c r="I5" t="s">
        <v>10</v>
      </c>
      <c r="J5" t="s">
        <v>126</v>
      </c>
      <c r="K5" t="s">
        <v>5</v>
      </c>
      <c r="L5" t="s">
        <v>22</v>
      </c>
      <c r="M5" t="s">
        <v>10</v>
      </c>
      <c r="N5">
        <f>(Table30[[#This Row],[G Variance]])*100</f>
        <v>22</v>
      </c>
      <c r="O5">
        <f>(Table30[[#This Row],[K Variance]])*100</f>
        <v>7.0000000000000009</v>
      </c>
      <c r="P5">
        <f>(Table30[[#This Row],[F Variance]])*100</f>
        <v>3</v>
      </c>
      <c r="Q5">
        <f>(Table30[[#This Row],[S Variance]])*100</f>
        <v>8</v>
      </c>
      <c r="R5" t="s">
        <v>324</v>
      </c>
      <c r="S5" t="s">
        <v>39</v>
      </c>
    </row>
    <row r="6" spans="1:19" x14ac:dyDescent="0.25">
      <c r="A6" t="s">
        <v>40</v>
      </c>
      <c r="B6" t="s">
        <v>145</v>
      </c>
      <c r="C6" t="s">
        <v>5</v>
      </c>
      <c r="D6" t="s">
        <v>148</v>
      </c>
      <c r="E6" t="s">
        <v>193</v>
      </c>
      <c r="F6" t="s">
        <v>35</v>
      </c>
      <c r="G6" t="s">
        <v>5</v>
      </c>
      <c r="H6" t="s">
        <v>227</v>
      </c>
      <c r="I6" t="s">
        <v>10</v>
      </c>
      <c r="J6" t="s">
        <v>79</v>
      </c>
      <c r="K6" t="s">
        <v>5</v>
      </c>
      <c r="L6" t="s">
        <v>22</v>
      </c>
      <c r="M6" t="s">
        <v>10</v>
      </c>
      <c r="N6">
        <f>(Table30[[#This Row],[G Variance]])*100</f>
        <v>19</v>
      </c>
      <c r="O6">
        <f>(Table30[[#This Row],[K Variance]])*100</f>
        <v>12</v>
      </c>
      <c r="P6">
        <f>(Table30[[#This Row],[F Variance]])*100</f>
        <v>8</v>
      </c>
      <c r="Q6">
        <f>(Table30[[#This Row],[S Variance]])*100</f>
        <v>4</v>
      </c>
      <c r="R6" t="s">
        <v>325</v>
      </c>
      <c r="S6" t="s">
        <v>45</v>
      </c>
    </row>
    <row r="7" spans="1:19" x14ac:dyDescent="0.25">
      <c r="A7" t="s">
        <v>46</v>
      </c>
      <c r="B7" t="s">
        <v>148</v>
      </c>
      <c r="C7" t="s">
        <v>5</v>
      </c>
      <c r="D7" t="s">
        <v>145</v>
      </c>
      <c r="E7" t="s">
        <v>193</v>
      </c>
      <c r="F7" t="s">
        <v>183</v>
      </c>
      <c r="G7" t="s">
        <v>5</v>
      </c>
      <c r="H7" t="s">
        <v>42</v>
      </c>
      <c r="I7" t="s">
        <v>10</v>
      </c>
      <c r="J7" t="s">
        <v>112</v>
      </c>
      <c r="K7" t="s">
        <v>5</v>
      </c>
      <c r="L7" t="s">
        <v>22</v>
      </c>
      <c r="M7" t="s">
        <v>10</v>
      </c>
      <c r="N7">
        <f>(Table30[[#This Row],[G Variance]])*100</f>
        <v>12</v>
      </c>
      <c r="O7">
        <f>(Table30[[#This Row],[K Variance]])*100</f>
        <v>19</v>
      </c>
      <c r="P7">
        <f>(Table30[[#This Row],[F Variance]])*100</f>
        <v>1</v>
      </c>
      <c r="Q7">
        <f>(Table30[[#This Row],[S Variance]])*100</f>
        <v>5</v>
      </c>
      <c r="R7" t="s">
        <v>326</v>
      </c>
      <c r="S7" t="s">
        <v>50</v>
      </c>
    </row>
    <row r="8" spans="1:19" x14ac:dyDescent="0.25">
      <c r="A8" t="s">
        <v>51</v>
      </c>
      <c r="B8" t="s">
        <v>20</v>
      </c>
      <c r="C8" t="s">
        <v>5</v>
      </c>
      <c r="D8" t="s">
        <v>52</v>
      </c>
      <c r="E8" t="s">
        <v>193</v>
      </c>
      <c r="F8" t="s">
        <v>13</v>
      </c>
      <c r="G8" t="s">
        <v>5</v>
      </c>
      <c r="H8" t="s">
        <v>8</v>
      </c>
      <c r="I8" t="s">
        <v>10</v>
      </c>
      <c r="J8" t="s">
        <v>53</v>
      </c>
      <c r="K8" t="s">
        <v>5</v>
      </c>
      <c r="L8" t="s">
        <v>22</v>
      </c>
      <c r="M8" t="s">
        <v>10</v>
      </c>
      <c r="N8">
        <f>(Table30[[#This Row],[G Variance]])*100</f>
        <v>11</v>
      </c>
      <c r="O8">
        <f>(Table30[[#This Row],[K Variance]])*100</f>
        <v>15</v>
      </c>
      <c r="P8">
        <f>(Table30[[#This Row],[F Variance]])*100</f>
        <v>2</v>
      </c>
      <c r="Q8">
        <f>(Table30[[#This Row],[S Variance]])*100</f>
        <v>0</v>
      </c>
      <c r="R8" t="s">
        <v>261</v>
      </c>
      <c r="S8" t="s">
        <v>55</v>
      </c>
    </row>
    <row r="9" spans="1:19" x14ac:dyDescent="0.25">
      <c r="A9" t="s">
        <v>56</v>
      </c>
      <c r="B9" t="s">
        <v>148</v>
      </c>
      <c r="C9" t="s">
        <v>5</v>
      </c>
      <c r="D9" t="s">
        <v>28</v>
      </c>
      <c r="E9" t="s">
        <v>193</v>
      </c>
      <c r="F9" t="s">
        <v>57</v>
      </c>
      <c r="G9" t="s">
        <v>5</v>
      </c>
      <c r="H9" t="s">
        <v>8</v>
      </c>
      <c r="I9" t="s">
        <v>10</v>
      </c>
      <c r="J9" t="s">
        <v>58</v>
      </c>
      <c r="K9" t="s">
        <v>5</v>
      </c>
      <c r="L9" t="s">
        <v>22</v>
      </c>
      <c r="M9" t="s">
        <v>10</v>
      </c>
      <c r="N9">
        <f>(Table30[[#This Row],[G Variance]])*100</f>
        <v>12</v>
      </c>
      <c r="O9">
        <f>(Table30[[#This Row],[K Variance]])*100</f>
        <v>6</v>
      </c>
      <c r="P9">
        <f>(Table30[[#This Row],[F Variance]])*100</f>
        <v>7.0000000000000009</v>
      </c>
      <c r="Q9">
        <f>(Table30[[#This Row],[S Variance]])*100</f>
        <v>0</v>
      </c>
      <c r="R9" t="s">
        <v>262</v>
      </c>
      <c r="S9" t="s">
        <v>60</v>
      </c>
    </row>
    <row r="12" spans="1:19" ht="15" customHeight="1" x14ac:dyDescent="0.25">
      <c r="A12" s="9" t="s">
        <v>360</v>
      </c>
      <c r="B12" s="9"/>
      <c r="C12" s="9"/>
      <c r="D12" s="9"/>
      <c r="E12" s="9"/>
      <c r="F12" s="9"/>
      <c r="G12" s="9"/>
    </row>
    <row r="13" spans="1:19" ht="15" customHeight="1" x14ac:dyDescent="0.25">
      <c r="A13" s="9" t="s">
        <v>361</v>
      </c>
      <c r="B13" s="9"/>
      <c r="C13" s="9"/>
      <c r="D13" s="9"/>
      <c r="E13" s="9"/>
      <c r="F13" s="9"/>
      <c r="G13" s="9"/>
    </row>
    <row r="14" spans="1:19" ht="15" customHeight="1" x14ac:dyDescent="0.25">
      <c r="A14" s="9" t="s">
        <v>362</v>
      </c>
      <c r="B14" s="9"/>
      <c r="C14" s="9"/>
      <c r="D14" s="9"/>
      <c r="E14" s="9"/>
      <c r="F14" s="9"/>
      <c r="G14" s="9"/>
    </row>
    <row r="15" spans="1:19" x14ac:dyDescent="0.25">
      <c r="A15" s="10" t="s">
        <v>363</v>
      </c>
      <c r="B15" s="10"/>
      <c r="C15" s="10"/>
      <c r="D15" s="10"/>
      <c r="E15" s="10"/>
      <c r="F15" s="10"/>
      <c r="G15" s="10"/>
    </row>
    <row r="16" spans="1:19" ht="15" customHeight="1" x14ac:dyDescent="0.25">
      <c r="A16" s="9" t="s">
        <v>359</v>
      </c>
      <c r="B16" s="9"/>
      <c r="C16" s="9"/>
      <c r="D16" s="9"/>
      <c r="E16" s="9"/>
      <c r="F16" s="9"/>
      <c r="G16" s="9"/>
    </row>
    <row r="17" spans="1:7" ht="15" customHeight="1" x14ac:dyDescent="0.25">
      <c r="A17" s="9" t="s">
        <v>358</v>
      </c>
      <c r="B17" s="9"/>
      <c r="C17" s="9"/>
      <c r="D17" s="9"/>
      <c r="E17" s="9"/>
      <c r="F17" s="9"/>
      <c r="G17" s="9"/>
    </row>
  </sheetData>
  <mergeCells count="6">
    <mergeCell ref="A16:G16"/>
    <mergeCell ref="A17:G17"/>
    <mergeCell ref="A12:G12"/>
    <mergeCell ref="A13:G13"/>
    <mergeCell ref="A14:G14"/>
    <mergeCell ref="A15:G15"/>
  </mergeCells>
  <pageMargins left="0.7" right="0.7" top="0.75" bottom="0.75" header="0.3" footer="0.3"/>
  <pageSetup paperSize="9" orientation="portrait" horizontalDpi="300" verticalDpi="300"/>
  <headerFooter scaleWithDoc="0" alignWithMargins="0">
    <oddHeader>&amp;L&amp;CResults of variance component analyses using all models on the GS20K&amp;R</oddHeader>
  </headerFooter>
  <tableParts count="1"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zoomScaleNormal="100" workbookViewId="0">
      <selection activeCell="O18" sqref="O18"/>
    </sheetView>
  </sheetViews>
  <sheetFormatPr defaultColWidth="8.85546875" defaultRowHeight="15" x14ac:dyDescent="0.25"/>
  <cols>
    <col min="1" max="1" width="25.7109375" customWidth="1"/>
    <col min="2" max="2" width="10.7109375" customWidth="1"/>
    <col min="3" max="3" width="6.7109375" customWidth="1"/>
    <col min="4" max="4" width="10.7109375" customWidth="1"/>
    <col min="5" max="5" width="6.7109375" customWidth="1"/>
    <col min="6" max="6" width="10.7109375" customWidth="1"/>
    <col min="7" max="7" width="6.7109375" customWidth="1"/>
    <col min="8" max="8" width="10.7109375" customWidth="1"/>
    <col min="9" max="9" width="6.7109375" customWidth="1"/>
    <col min="10" max="10" width="13.7109375" customWidth="1"/>
    <col min="11" max="11" width="7.7109375" customWidth="1"/>
    <col min="12" max="12" width="11.7109375" customWidth="1"/>
    <col min="13" max="13" width="6.7109375" customWidth="1"/>
    <col min="14" max="15" width="11.7109375" customWidth="1"/>
    <col min="16" max="16" width="14.5703125" bestFit="1" customWidth="1"/>
    <col min="17" max="17" width="14.7109375" bestFit="1" customWidth="1"/>
    <col min="18" max="19" width="8.7109375" customWidth="1"/>
    <col min="20" max="96" width="9.140625" customWidth="1"/>
  </cols>
  <sheetData>
    <row r="1" spans="1:19" x14ac:dyDescent="0.25">
      <c r="A1" t="s">
        <v>0</v>
      </c>
      <c r="B1" t="s">
        <v>339</v>
      </c>
      <c r="C1" t="s">
        <v>340</v>
      </c>
      <c r="D1" t="s">
        <v>341</v>
      </c>
      <c r="E1" t="s">
        <v>342</v>
      </c>
      <c r="F1" t="s">
        <v>345</v>
      </c>
      <c r="G1" t="s">
        <v>346</v>
      </c>
      <c r="H1" t="s">
        <v>347</v>
      </c>
      <c r="I1" t="s">
        <v>348</v>
      </c>
      <c r="J1" t="s">
        <v>349</v>
      </c>
      <c r="K1" t="s">
        <v>350</v>
      </c>
      <c r="L1" t="s">
        <v>351</v>
      </c>
      <c r="M1" t="s">
        <v>352</v>
      </c>
      <c r="N1" t="s">
        <v>353</v>
      </c>
      <c r="O1" t="s">
        <v>354</v>
      </c>
      <c r="P1" t="s">
        <v>356</v>
      </c>
      <c r="Q1" t="s">
        <v>357</v>
      </c>
      <c r="R1" t="s">
        <v>1</v>
      </c>
      <c r="S1" t="s">
        <v>2</v>
      </c>
    </row>
    <row r="2" spans="1:19" x14ac:dyDescent="0.25">
      <c r="A2" t="s">
        <v>3</v>
      </c>
      <c r="B2" t="s">
        <v>27</v>
      </c>
      <c r="C2" t="s">
        <v>5</v>
      </c>
      <c r="D2" t="s">
        <v>30</v>
      </c>
      <c r="E2" t="s">
        <v>12</v>
      </c>
      <c r="F2" t="s">
        <v>9</v>
      </c>
      <c r="G2" t="s">
        <v>10</v>
      </c>
      <c r="H2">
        <v>0.22</v>
      </c>
      <c r="I2" t="s">
        <v>5</v>
      </c>
      <c r="J2" t="s">
        <v>52</v>
      </c>
      <c r="K2" t="s">
        <v>12</v>
      </c>
      <c r="L2" t="s">
        <v>22</v>
      </c>
      <c r="M2" t="s">
        <v>10</v>
      </c>
      <c r="N2">
        <f>(Table31[[#This Row],[G Variance]])*100</f>
        <v>23</v>
      </c>
      <c r="O2">
        <f>(Table31[[#This Row],[K Variance]])*100</f>
        <v>31</v>
      </c>
      <c r="P2">
        <f>(Table31[[#This Row],[S Variance]])*100</f>
        <v>9</v>
      </c>
      <c r="Q2">
        <f>(Table31[[#This Row],[C Variance]])*100</f>
        <v>22</v>
      </c>
      <c r="R2" t="s">
        <v>327</v>
      </c>
      <c r="S2" t="s">
        <v>16</v>
      </c>
    </row>
    <row r="3" spans="1:19" x14ac:dyDescent="0.25">
      <c r="A3" t="s">
        <v>17</v>
      </c>
      <c r="B3" t="s">
        <v>52</v>
      </c>
      <c r="C3" t="s">
        <v>5</v>
      </c>
      <c r="D3" t="s">
        <v>96</v>
      </c>
      <c r="E3" t="s">
        <v>12</v>
      </c>
      <c r="F3" t="s">
        <v>20</v>
      </c>
      <c r="G3" t="s">
        <v>10</v>
      </c>
      <c r="H3" t="s">
        <v>30</v>
      </c>
      <c r="I3" t="s">
        <v>5</v>
      </c>
      <c r="J3" t="s">
        <v>107</v>
      </c>
      <c r="K3" t="s">
        <v>5</v>
      </c>
      <c r="L3" t="s">
        <v>14</v>
      </c>
      <c r="M3" t="s">
        <v>10</v>
      </c>
      <c r="N3">
        <f>(Table31[[#This Row],[G Variance]])*100</f>
        <v>15</v>
      </c>
      <c r="O3">
        <f>(Table31[[#This Row],[K Variance]])*100</f>
        <v>28.000000000000004</v>
      </c>
      <c r="P3">
        <f>(Table31[[#This Row],[S Variance]])*100</f>
        <v>11</v>
      </c>
      <c r="Q3">
        <f>(Table31[[#This Row],[C Variance]])*100</f>
        <v>31</v>
      </c>
      <c r="R3" t="s">
        <v>328</v>
      </c>
      <c r="S3" t="s">
        <v>25</v>
      </c>
    </row>
    <row r="4" spans="1:19" x14ac:dyDescent="0.25">
      <c r="A4" t="s">
        <v>26</v>
      </c>
      <c r="B4" t="s">
        <v>177</v>
      </c>
      <c r="C4" t="s">
        <v>5</v>
      </c>
      <c r="D4" t="s">
        <v>30</v>
      </c>
      <c r="E4" t="s">
        <v>12</v>
      </c>
      <c r="F4" t="s">
        <v>57</v>
      </c>
      <c r="G4" t="s">
        <v>10</v>
      </c>
      <c r="H4" t="s">
        <v>73</v>
      </c>
      <c r="I4" t="s">
        <v>5</v>
      </c>
      <c r="J4" t="s">
        <v>9</v>
      </c>
      <c r="K4" t="s">
        <v>5</v>
      </c>
      <c r="L4" t="s">
        <v>14</v>
      </c>
      <c r="M4" t="s">
        <v>10</v>
      </c>
      <c r="N4">
        <f>(Table31[[#This Row],[G Variance]])*100</f>
        <v>25</v>
      </c>
      <c r="O4">
        <f>(Table31[[#This Row],[K Variance]])*100</f>
        <v>31</v>
      </c>
      <c r="P4">
        <f>(Table31[[#This Row],[S Variance]])*100</f>
        <v>7.0000000000000009</v>
      </c>
      <c r="Q4">
        <f>(Table31[[#This Row],[C Variance]])*100</f>
        <v>27</v>
      </c>
      <c r="R4" t="s">
        <v>329</v>
      </c>
      <c r="S4" t="s">
        <v>32</v>
      </c>
    </row>
    <row r="5" spans="1:19" s="1" customFormat="1" x14ac:dyDescent="0.25">
      <c r="A5" s="1" t="s">
        <v>33</v>
      </c>
      <c r="B5" s="6">
        <v>0.21</v>
      </c>
      <c r="C5" s="6" t="s">
        <v>5</v>
      </c>
      <c r="D5" s="6">
        <v>0.15</v>
      </c>
      <c r="E5" s="6" t="s">
        <v>12</v>
      </c>
      <c r="F5" s="6">
        <v>0.08</v>
      </c>
      <c r="G5" s="6" t="s">
        <v>10</v>
      </c>
      <c r="H5" s="6">
        <v>0.13</v>
      </c>
      <c r="I5" s="6" t="s">
        <v>5</v>
      </c>
      <c r="J5" s="6">
        <v>0.43</v>
      </c>
      <c r="K5" s="6" t="s">
        <v>12</v>
      </c>
      <c r="L5" s="6" t="s">
        <v>22</v>
      </c>
      <c r="M5" s="6" t="s">
        <v>10</v>
      </c>
      <c r="N5" s="1">
        <f>(Table31[[#This Row],[G Variance]])*100</f>
        <v>21</v>
      </c>
      <c r="O5" s="1">
        <f>(Table31[[#This Row],[K Variance]])*100</f>
        <v>15</v>
      </c>
      <c r="P5" s="1">
        <f>(Table31[[#This Row],[S Variance]])*100</f>
        <v>8</v>
      </c>
      <c r="Q5" s="1">
        <f>(Table31[[#This Row],[C Variance]])*100</f>
        <v>13</v>
      </c>
      <c r="R5" s="1">
        <v>-9212.1910000000007</v>
      </c>
      <c r="S5" s="1">
        <v>19385</v>
      </c>
    </row>
    <row r="6" spans="1:19" x14ac:dyDescent="0.25">
      <c r="A6" t="s">
        <v>40</v>
      </c>
      <c r="B6" t="s">
        <v>145</v>
      </c>
      <c r="C6" t="s">
        <v>5</v>
      </c>
      <c r="D6" t="s">
        <v>73</v>
      </c>
      <c r="E6" t="s">
        <v>12</v>
      </c>
      <c r="F6" t="s">
        <v>42</v>
      </c>
      <c r="G6" t="s">
        <v>10</v>
      </c>
      <c r="H6" t="s">
        <v>52</v>
      </c>
      <c r="I6" t="s">
        <v>5</v>
      </c>
      <c r="J6" t="s">
        <v>128</v>
      </c>
      <c r="K6" t="s">
        <v>12</v>
      </c>
      <c r="L6" t="s">
        <v>22</v>
      </c>
      <c r="M6" t="s">
        <v>10</v>
      </c>
      <c r="N6">
        <f>(Table31[[#This Row],[G Variance]])*100</f>
        <v>19</v>
      </c>
      <c r="O6">
        <f>(Table31[[#This Row],[K Variance]])*100</f>
        <v>27</v>
      </c>
      <c r="P6">
        <f>(Table31[[#This Row],[S Variance]])*100</f>
        <v>5</v>
      </c>
      <c r="Q6">
        <f>(Table31[[#This Row],[C Variance]])*100</f>
        <v>15</v>
      </c>
      <c r="R6" t="s">
        <v>330</v>
      </c>
      <c r="S6" t="s">
        <v>45</v>
      </c>
    </row>
    <row r="7" spans="1:19" x14ac:dyDescent="0.25">
      <c r="A7" t="s">
        <v>46</v>
      </c>
      <c r="B7" t="s">
        <v>148</v>
      </c>
      <c r="C7" t="s">
        <v>5</v>
      </c>
      <c r="D7" t="s">
        <v>4</v>
      </c>
      <c r="E7" t="s">
        <v>12</v>
      </c>
      <c r="F7" t="s">
        <v>42</v>
      </c>
      <c r="G7" t="s">
        <v>10</v>
      </c>
      <c r="H7" t="s">
        <v>227</v>
      </c>
      <c r="I7" t="s">
        <v>5</v>
      </c>
      <c r="J7" t="s">
        <v>210</v>
      </c>
      <c r="K7" t="s">
        <v>12</v>
      </c>
      <c r="L7" t="s">
        <v>22</v>
      </c>
      <c r="M7" t="s">
        <v>10</v>
      </c>
      <c r="N7">
        <f>(Table31[[#This Row],[G Variance]])*100</f>
        <v>12</v>
      </c>
      <c r="O7">
        <f>(Table31[[#This Row],[K Variance]])*100</f>
        <v>21</v>
      </c>
      <c r="P7">
        <f>(Table31[[#This Row],[S Variance]])*100</f>
        <v>5</v>
      </c>
      <c r="Q7">
        <f>(Table31[[#This Row],[C Variance]])*100</f>
        <v>4</v>
      </c>
      <c r="R7" t="s">
        <v>331</v>
      </c>
      <c r="S7" t="s">
        <v>50</v>
      </c>
    </row>
    <row r="8" spans="1:19" x14ac:dyDescent="0.25">
      <c r="A8" t="s">
        <v>51</v>
      </c>
      <c r="B8" t="s">
        <v>20</v>
      </c>
      <c r="C8" t="s">
        <v>5</v>
      </c>
      <c r="D8" t="s">
        <v>145</v>
      </c>
      <c r="E8" t="s">
        <v>12</v>
      </c>
      <c r="F8" t="s">
        <v>8</v>
      </c>
      <c r="G8" t="s">
        <v>10</v>
      </c>
      <c r="H8" t="s">
        <v>13</v>
      </c>
      <c r="I8" t="s">
        <v>5</v>
      </c>
      <c r="J8" t="s">
        <v>170</v>
      </c>
      <c r="K8" t="s">
        <v>12</v>
      </c>
      <c r="L8" t="s">
        <v>22</v>
      </c>
      <c r="M8" t="s">
        <v>10</v>
      </c>
      <c r="N8">
        <f>(Table31[[#This Row],[G Variance]])*100</f>
        <v>11</v>
      </c>
      <c r="O8">
        <f>(Table31[[#This Row],[K Variance]])*100</f>
        <v>19</v>
      </c>
      <c r="P8">
        <f>(Table31[[#This Row],[S Variance]])*100</f>
        <v>0</v>
      </c>
      <c r="Q8">
        <f>(Table31[[#This Row],[C Variance]])*100</f>
        <v>2</v>
      </c>
      <c r="R8" t="s">
        <v>253</v>
      </c>
      <c r="S8" t="s">
        <v>55</v>
      </c>
    </row>
    <row r="9" spans="1:19" x14ac:dyDescent="0.25">
      <c r="A9" t="s">
        <v>56</v>
      </c>
      <c r="B9" t="s">
        <v>148</v>
      </c>
      <c r="C9" t="s">
        <v>5</v>
      </c>
      <c r="D9" t="s">
        <v>41</v>
      </c>
      <c r="E9" t="s">
        <v>12</v>
      </c>
      <c r="F9" t="s">
        <v>183</v>
      </c>
      <c r="G9" t="s">
        <v>10</v>
      </c>
      <c r="H9" t="s">
        <v>57</v>
      </c>
      <c r="I9" t="s">
        <v>5</v>
      </c>
      <c r="J9" t="s">
        <v>112</v>
      </c>
      <c r="K9" t="s">
        <v>12</v>
      </c>
      <c r="L9" t="s">
        <v>22</v>
      </c>
      <c r="M9" t="s">
        <v>10</v>
      </c>
      <c r="N9">
        <f>(Table31[[#This Row],[G Variance]])*100</f>
        <v>12</v>
      </c>
      <c r="O9">
        <f>(Table31[[#This Row],[K Variance]])*100</f>
        <v>18</v>
      </c>
      <c r="P9">
        <f>(Table31[[#This Row],[S Variance]])*100</f>
        <v>1</v>
      </c>
      <c r="Q9">
        <f>(Table31[[#This Row],[C Variance]])*100</f>
        <v>7.0000000000000009</v>
      </c>
      <c r="R9" t="s">
        <v>332</v>
      </c>
      <c r="S9" t="s">
        <v>60</v>
      </c>
    </row>
    <row r="13" spans="1:19" ht="15" customHeight="1" x14ac:dyDescent="0.25">
      <c r="A13" s="9" t="s">
        <v>360</v>
      </c>
      <c r="B13" s="9"/>
      <c r="C13" s="9"/>
      <c r="D13" s="9"/>
      <c r="E13" s="9"/>
      <c r="F13" s="9"/>
      <c r="G13" s="9"/>
    </row>
    <row r="14" spans="1:19" ht="15" customHeight="1" x14ac:dyDescent="0.25">
      <c r="A14" s="9" t="s">
        <v>361</v>
      </c>
      <c r="B14" s="9"/>
      <c r="C14" s="9"/>
      <c r="D14" s="9"/>
      <c r="E14" s="9"/>
      <c r="F14" s="9"/>
      <c r="G14" s="9"/>
    </row>
    <row r="15" spans="1:19" x14ac:dyDescent="0.25">
      <c r="A15" s="10" t="s">
        <v>363</v>
      </c>
      <c r="B15" s="10"/>
      <c r="C15" s="10"/>
      <c r="D15" s="10"/>
      <c r="E15" s="10"/>
      <c r="F15" s="10"/>
      <c r="G15" s="10"/>
    </row>
    <row r="16" spans="1:19" x14ac:dyDescent="0.25">
      <c r="A16" s="9" t="s">
        <v>364</v>
      </c>
      <c r="B16" s="9"/>
      <c r="C16" s="9"/>
      <c r="D16" s="9"/>
      <c r="E16" s="9"/>
      <c r="F16" s="9"/>
      <c r="G16" s="9"/>
    </row>
    <row r="17" spans="1:7" ht="15" customHeight="1" x14ac:dyDescent="0.25">
      <c r="A17" s="9" t="s">
        <v>359</v>
      </c>
      <c r="B17" s="9"/>
      <c r="C17" s="9"/>
      <c r="D17" s="9"/>
      <c r="E17" s="9"/>
      <c r="F17" s="9"/>
      <c r="G17" s="9"/>
    </row>
    <row r="18" spans="1:7" ht="15" customHeight="1" x14ac:dyDescent="0.25">
      <c r="A18" s="9" t="s">
        <v>358</v>
      </c>
      <c r="B18" s="9"/>
      <c r="C18" s="9"/>
      <c r="D18" s="9"/>
      <c r="E18" s="9"/>
      <c r="F18" s="9"/>
      <c r="G18" s="9"/>
    </row>
  </sheetData>
  <mergeCells count="6">
    <mergeCell ref="A17:G17"/>
    <mergeCell ref="A18:G18"/>
    <mergeCell ref="A13:G13"/>
    <mergeCell ref="A14:G14"/>
    <mergeCell ref="A15:G15"/>
    <mergeCell ref="A16:G16"/>
  </mergeCells>
  <pageMargins left="0.7" right="0.7" top="0.75" bottom="0.75" header="0.3" footer="0.3"/>
  <pageSetup paperSize="9" orientation="portrait" horizontalDpi="300" verticalDpi="300" r:id="rId1"/>
  <headerFooter scaleWithDoc="0" alignWithMargins="0">
    <oddHeader>&amp;L&amp;CResults of variance component analyses using all models on the GS20K&amp;R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H19" sqref="H19"/>
    </sheetView>
  </sheetViews>
  <sheetFormatPr defaultColWidth="8.85546875" defaultRowHeight="15" x14ac:dyDescent="0.25"/>
  <cols>
    <col min="1" max="1" width="25.7109375" customWidth="1"/>
    <col min="2" max="2" width="10.7109375" customWidth="1"/>
    <col min="3" max="3" width="6.7109375" customWidth="1"/>
    <col min="4" max="4" width="13.7109375" customWidth="1"/>
    <col min="5" max="5" width="7.7109375" customWidth="1"/>
    <col min="6" max="6" width="11.7109375" customWidth="1"/>
    <col min="7" max="7" width="6.7109375" customWidth="1"/>
    <col min="8" max="8" width="11.7109375" customWidth="1"/>
    <col min="9" max="10" width="8.7109375" customWidth="1"/>
    <col min="11" max="99" width="9.140625" customWidth="1"/>
  </cols>
  <sheetData>
    <row r="1" spans="1:10" x14ac:dyDescent="0.25">
      <c r="A1" t="s">
        <v>0</v>
      </c>
      <c r="B1" t="s">
        <v>341</v>
      </c>
      <c r="C1" t="s">
        <v>342</v>
      </c>
      <c r="D1" t="s">
        <v>349</v>
      </c>
      <c r="E1" t="s">
        <v>350</v>
      </c>
      <c r="F1" t="s">
        <v>351</v>
      </c>
      <c r="G1" t="s">
        <v>352</v>
      </c>
      <c r="H1" t="s">
        <v>354</v>
      </c>
      <c r="I1" t="s">
        <v>1</v>
      </c>
      <c r="J1" t="s">
        <v>2</v>
      </c>
    </row>
    <row r="2" spans="1:10" x14ac:dyDescent="0.25">
      <c r="A2" t="s">
        <v>3</v>
      </c>
      <c r="B2" t="s">
        <v>79</v>
      </c>
      <c r="C2" t="s">
        <v>5</v>
      </c>
      <c r="D2" t="s">
        <v>80</v>
      </c>
      <c r="E2" t="s">
        <v>10</v>
      </c>
      <c r="F2" t="s">
        <v>14</v>
      </c>
      <c r="G2" t="s">
        <v>10</v>
      </c>
      <c r="H2">
        <f>(Table5[[#This Row],[K Variance]])*100</f>
        <v>56.999999999999993</v>
      </c>
      <c r="I2" t="s">
        <v>81</v>
      </c>
      <c r="J2" t="s">
        <v>16</v>
      </c>
    </row>
    <row r="3" spans="1:10" x14ac:dyDescent="0.25">
      <c r="A3" t="s">
        <v>17</v>
      </c>
      <c r="B3" t="s">
        <v>82</v>
      </c>
      <c r="C3" t="s">
        <v>5</v>
      </c>
      <c r="D3" t="s">
        <v>83</v>
      </c>
      <c r="E3" t="s">
        <v>5</v>
      </c>
      <c r="F3" t="s">
        <v>14</v>
      </c>
      <c r="G3" t="s">
        <v>10</v>
      </c>
      <c r="H3">
        <f>(Table5[[#This Row],[K Variance]])*100</f>
        <v>49</v>
      </c>
      <c r="I3" t="s">
        <v>84</v>
      </c>
      <c r="J3" t="s">
        <v>25</v>
      </c>
    </row>
    <row r="4" spans="1:10" x14ac:dyDescent="0.25">
      <c r="A4" t="s">
        <v>26</v>
      </c>
      <c r="B4" t="s">
        <v>79</v>
      </c>
      <c r="C4" t="s">
        <v>5</v>
      </c>
      <c r="D4" t="s">
        <v>85</v>
      </c>
      <c r="E4" t="s">
        <v>10</v>
      </c>
      <c r="F4" t="s">
        <v>14</v>
      </c>
      <c r="G4" t="s">
        <v>10</v>
      </c>
      <c r="H4">
        <f>(Table5[[#This Row],[K Variance]])*100</f>
        <v>56.999999999999993</v>
      </c>
      <c r="I4" t="s">
        <v>86</v>
      </c>
      <c r="J4" t="s">
        <v>32</v>
      </c>
    </row>
    <row r="5" spans="1:10" x14ac:dyDescent="0.25">
      <c r="A5" t="s">
        <v>33</v>
      </c>
      <c r="B5" t="s">
        <v>19</v>
      </c>
      <c r="C5" t="s">
        <v>5</v>
      </c>
      <c r="D5" t="s">
        <v>87</v>
      </c>
      <c r="E5" t="s">
        <v>5</v>
      </c>
      <c r="F5" t="s">
        <v>22</v>
      </c>
      <c r="G5" t="s">
        <v>10</v>
      </c>
      <c r="H5">
        <f>(Table5[[#This Row],[K Variance]])*100</f>
        <v>40</v>
      </c>
      <c r="I5" t="s">
        <v>88</v>
      </c>
      <c r="J5" t="s">
        <v>39</v>
      </c>
    </row>
    <row r="6" spans="1:10" x14ac:dyDescent="0.25">
      <c r="A6" t="s">
        <v>40</v>
      </c>
      <c r="B6" t="s">
        <v>66</v>
      </c>
      <c r="C6" t="s">
        <v>5</v>
      </c>
      <c r="D6" t="s">
        <v>67</v>
      </c>
      <c r="E6" t="s">
        <v>5</v>
      </c>
      <c r="F6" t="s">
        <v>22</v>
      </c>
      <c r="G6" t="s">
        <v>10</v>
      </c>
      <c r="H6">
        <f>(Table5[[#This Row],[K Variance]])*100</f>
        <v>47</v>
      </c>
      <c r="I6" t="s">
        <v>90</v>
      </c>
      <c r="J6" t="s">
        <v>45</v>
      </c>
    </row>
    <row r="7" spans="1:10" x14ac:dyDescent="0.25">
      <c r="A7" t="s">
        <v>46</v>
      </c>
      <c r="B7" t="s">
        <v>21</v>
      </c>
      <c r="C7" t="s">
        <v>5</v>
      </c>
      <c r="D7" t="s">
        <v>91</v>
      </c>
      <c r="E7" t="s">
        <v>5</v>
      </c>
      <c r="F7" t="s">
        <v>22</v>
      </c>
      <c r="G7" t="s">
        <v>10</v>
      </c>
      <c r="H7">
        <f>(Table5[[#This Row],[K Variance]])*100</f>
        <v>36</v>
      </c>
      <c r="I7" t="s">
        <v>92</v>
      </c>
      <c r="J7" t="s">
        <v>50</v>
      </c>
    </row>
    <row r="8" spans="1:10" x14ac:dyDescent="0.25">
      <c r="A8" t="s">
        <v>51</v>
      </c>
      <c r="B8" t="s">
        <v>29</v>
      </c>
      <c r="C8" t="s">
        <v>5</v>
      </c>
      <c r="D8" t="s">
        <v>93</v>
      </c>
      <c r="E8" t="s">
        <v>5</v>
      </c>
      <c r="F8" t="s">
        <v>22</v>
      </c>
      <c r="G8" t="s">
        <v>10</v>
      </c>
      <c r="H8">
        <f>(Table5[[#This Row],[K Variance]])*100</f>
        <v>30</v>
      </c>
      <c r="I8" t="s">
        <v>94</v>
      </c>
      <c r="J8" t="s">
        <v>55</v>
      </c>
    </row>
    <row r="9" spans="1:10" x14ac:dyDescent="0.25">
      <c r="A9" t="s">
        <v>56</v>
      </c>
      <c r="B9" t="s">
        <v>29</v>
      </c>
      <c r="C9" t="s">
        <v>5</v>
      </c>
      <c r="D9" t="s">
        <v>93</v>
      </c>
      <c r="E9" t="s">
        <v>5</v>
      </c>
      <c r="F9" t="s">
        <v>22</v>
      </c>
      <c r="G9" t="s">
        <v>10</v>
      </c>
      <c r="H9">
        <f>(Table5[[#This Row],[K Variance]])*100</f>
        <v>30</v>
      </c>
      <c r="I9" t="s">
        <v>95</v>
      </c>
      <c r="J9" t="s">
        <v>60</v>
      </c>
    </row>
    <row r="12" spans="1:10" ht="15" customHeight="1" x14ac:dyDescent="0.25">
      <c r="A12" s="9" t="s">
        <v>361</v>
      </c>
      <c r="B12" s="9"/>
      <c r="C12" s="9"/>
      <c r="D12" s="9"/>
      <c r="E12" s="9"/>
      <c r="F12" s="9"/>
      <c r="G12" s="9"/>
    </row>
    <row r="13" spans="1:10" x14ac:dyDescent="0.25">
      <c r="A13" s="9" t="s">
        <v>359</v>
      </c>
      <c r="B13" s="9"/>
      <c r="C13" s="9"/>
      <c r="D13" s="9"/>
      <c r="E13" s="9"/>
      <c r="F13" s="9"/>
      <c r="G13" s="9"/>
    </row>
    <row r="14" spans="1:10" x14ac:dyDescent="0.25">
      <c r="A14" s="9" t="s">
        <v>358</v>
      </c>
      <c r="B14" s="9"/>
      <c r="C14" s="9"/>
      <c r="D14" s="9"/>
      <c r="E14" s="9"/>
      <c r="F14" s="9"/>
      <c r="G14" s="9"/>
    </row>
  </sheetData>
  <mergeCells count="3">
    <mergeCell ref="A12:G12"/>
    <mergeCell ref="A13:G13"/>
    <mergeCell ref="A14:G14"/>
  </mergeCells>
  <pageMargins left="0.7" right="0.7" top="0.75" bottom="0.75" header="0.3" footer="0.3"/>
  <pageSetup paperSize="9" orientation="portrait" horizontalDpi="300" verticalDpi="300"/>
  <headerFooter scaleWithDoc="0" alignWithMargins="0">
    <oddHeader>&amp;L&amp;CResults of variance component analyses using all models on the GS20K&amp;R</oddHeader>
  </headerFooter>
  <tableParts count="1"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K22" sqref="K22"/>
    </sheetView>
  </sheetViews>
  <sheetFormatPr defaultColWidth="8.85546875" defaultRowHeight="15" x14ac:dyDescent="0.25"/>
  <cols>
    <col min="1" max="1" width="25.7109375" customWidth="1"/>
    <col min="2" max="2" width="10.7109375" customWidth="1"/>
    <col min="3" max="3" width="6.7109375" customWidth="1"/>
    <col min="4" max="4" width="10.7109375" customWidth="1"/>
    <col min="5" max="5" width="6.7109375" customWidth="1"/>
    <col min="6" max="6" width="10.7109375" customWidth="1"/>
    <col min="7" max="7" width="6.7109375" customWidth="1"/>
    <col min="8" max="8" width="10.7109375" customWidth="1"/>
    <col min="9" max="9" width="6.7109375" customWidth="1"/>
    <col min="10" max="10" width="13.7109375" customWidth="1"/>
    <col min="11" max="11" width="7.7109375" customWidth="1"/>
    <col min="12" max="12" width="11.7109375" customWidth="1"/>
    <col min="13" max="13" width="8.7109375" bestFit="1" customWidth="1"/>
    <col min="14" max="17" width="11.7109375" customWidth="1"/>
    <col min="18" max="19" width="8.7109375" customWidth="1"/>
    <col min="20" max="96" width="9.140625" customWidth="1"/>
  </cols>
  <sheetData>
    <row r="1" spans="1:19" x14ac:dyDescent="0.25">
      <c r="A1" t="s">
        <v>0</v>
      </c>
      <c r="B1" t="s">
        <v>341</v>
      </c>
      <c r="C1" t="s">
        <v>342</v>
      </c>
      <c r="D1" t="s">
        <v>343</v>
      </c>
      <c r="E1" t="s">
        <v>344</v>
      </c>
      <c r="F1" t="s">
        <v>345</v>
      </c>
      <c r="G1" t="s">
        <v>346</v>
      </c>
      <c r="H1" t="s">
        <v>347</v>
      </c>
      <c r="I1" t="s">
        <v>348</v>
      </c>
      <c r="J1" t="s">
        <v>349</v>
      </c>
      <c r="K1" t="s">
        <v>350</v>
      </c>
      <c r="L1" t="s">
        <v>351</v>
      </c>
      <c r="M1" t="s">
        <v>352</v>
      </c>
      <c r="N1" t="s">
        <v>354</v>
      </c>
      <c r="O1" t="s">
        <v>355</v>
      </c>
      <c r="P1" t="s">
        <v>356</v>
      </c>
      <c r="Q1" t="s">
        <v>357</v>
      </c>
      <c r="R1" t="s">
        <v>1</v>
      </c>
      <c r="S1" t="s">
        <v>2</v>
      </c>
    </row>
    <row r="2" spans="1:19" s="7" customFormat="1" x14ac:dyDescent="0.25">
      <c r="A2" s="7" t="s">
        <v>367</v>
      </c>
      <c r="B2" s="7">
        <v>0.65</v>
      </c>
      <c r="C2" s="7" t="s">
        <v>366</v>
      </c>
      <c r="D2" s="7" t="s">
        <v>8</v>
      </c>
      <c r="E2" s="7" t="s">
        <v>366</v>
      </c>
      <c r="F2" s="7">
        <v>0.08</v>
      </c>
      <c r="G2" s="7" t="s">
        <v>366</v>
      </c>
      <c r="H2" s="7">
        <v>0.27</v>
      </c>
      <c r="I2" s="7" t="s">
        <v>366</v>
      </c>
      <c r="J2" s="7">
        <v>0.01</v>
      </c>
      <c r="K2" s="7" t="s">
        <v>366</v>
      </c>
      <c r="L2" s="7" t="s">
        <v>366</v>
      </c>
      <c r="M2" s="7" t="s">
        <v>366</v>
      </c>
      <c r="N2" s="7">
        <f>(Table32[[#This Row],[K Variance]])*100</f>
        <v>65</v>
      </c>
      <c r="O2" s="7">
        <f>(Table32[[#This Row],[F Variance]])*100</f>
        <v>0</v>
      </c>
      <c r="P2" s="7">
        <f>(Table32[[#This Row],[S Variance]])*100</f>
        <v>8</v>
      </c>
      <c r="Q2" s="7">
        <f>(Table32[[#This Row],[C Variance]])*100</f>
        <v>27</v>
      </c>
      <c r="R2" s="7">
        <v>-8698.61</v>
      </c>
      <c r="S2" s="7" t="s">
        <v>16</v>
      </c>
    </row>
    <row r="3" spans="1:19" x14ac:dyDescent="0.25">
      <c r="A3" t="s">
        <v>17</v>
      </c>
      <c r="B3" t="s">
        <v>48</v>
      </c>
      <c r="C3" t="s">
        <v>7</v>
      </c>
      <c r="D3" t="s">
        <v>8</v>
      </c>
      <c r="E3" t="s">
        <v>5</v>
      </c>
      <c r="F3" t="s">
        <v>9</v>
      </c>
      <c r="G3" t="s">
        <v>10</v>
      </c>
      <c r="H3" t="s">
        <v>21</v>
      </c>
      <c r="I3" t="s">
        <v>12</v>
      </c>
      <c r="J3" t="s">
        <v>8</v>
      </c>
      <c r="K3" t="s">
        <v>7</v>
      </c>
      <c r="L3" t="s">
        <v>14</v>
      </c>
      <c r="M3" t="s">
        <v>10</v>
      </c>
      <c r="N3">
        <f>(Table32[[#This Row],[K Variance]])*100</f>
        <v>54</v>
      </c>
      <c r="O3">
        <f>(Table32[[#This Row],[F Variance]])*100</f>
        <v>0</v>
      </c>
      <c r="P3">
        <f>(Table32[[#This Row],[S Variance]])*100</f>
        <v>9</v>
      </c>
      <c r="Q3">
        <f>(Table32[[#This Row],[C Variance]])*100</f>
        <v>36</v>
      </c>
      <c r="R3" t="s">
        <v>333</v>
      </c>
      <c r="S3" t="s">
        <v>25</v>
      </c>
    </row>
    <row r="4" spans="1:19" x14ac:dyDescent="0.25">
      <c r="A4" t="s">
        <v>26</v>
      </c>
      <c r="B4" t="s">
        <v>129</v>
      </c>
      <c r="C4" t="s">
        <v>193</v>
      </c>
      <c r="D4" t="s">
        <v>8</v>
      </c>
      <c r="E4" t="s">
        <v>5</v>
      </c>
      <c r="F4" t="s">
        <v>227</v>
      </c>
      <c r="G4" t="s">
        <v>10</v>
      </c>
      <c r="H4" t="s">
        <v>29</v>
      </c>
      <c r="I4" t="s">
        <v>12</v>
      </c>
      <c r="J4" t="s">
        <v>8</v>
      </c>
      <c r="K4" t="s">
        <v>7</v>
      </c>
      <c r="L4" t="s">
        <v>14</v>
      </c>
      <c r="M4" t="s">
        <v>10</v>
      </c>
      <c r="N4">
        <f>(Table32[[#This Row],[K Variance]])*100</f>
        <v>65</v>
      </c>
      <c r="O4">
        <f>(Table32[[#This Row],[F Variance]])*100</f>
        <v>0</v>
      </c>
      <c r="P4">
        <f>(Table32[[#This Row],[S Variance]])*100</f>
        <v>4</v>
      </c>
      <c r="Q4">
        <f>(Table32[[#This Row],[C Variance]])*100</f>
        <v>30</v>
      </c>
      <c r="R4" t="s">
        <v>334</v>
      </c>
      <c r="S4" t="s">
        <v>32</v>
      </c>
    </row>
    <row r="5" spans="1:19" s="1" customFormat="1" x14ac:dyDescent="0.25">
      <c r="A5" s="1" t="s">
        <v>33</v>
      </c>
      <c r="B5" s="6">
        <v>0.54</v>
      </c>
      <c r="C5" s="6" t="s">
        <v>7</v>
      </c>
      <c r="D5" s="7" t="s">
        <v>8</v>
      </c>
      <c r="E5" s="6" t="s">
        <v>5</v>
      </c>
      <c r="F5" s="6">
        <v>0.09</v>
      </c>
      <c r="G5" s="6" t="s">
        <v>5</v>
      </c>
      <c r="H5" s="6">
        <v>0.36</v>
      </c>
      <c r="I5" s="6" t="s">
        <v>10</v>
      </c>
      <c r="J5" s="6">
        <v>0</v>
      </c>
      <c r="K5" s="6" t="s">
        <v>5</v>
      </c>
      <c r="L5" s="6">
        <v>0.99</v>
      </c>
      <c r="M5" s="6" t="s">
        <v>10</v>
      </c>
      <c r="N5" s="1">
        <f>(Table32[[#This Row],[K Variance]])*100</f>
        <v>54</v>
      </c>
      <c r="O5" s="1">
        <f>(Table32[[#This Row],[F Variance]])*100</f>
        <v>0</v>
      </c>
      <c r="P5" s="1">
        <f>(Table32[[#This Row],[S Variance]])*100</f>
        <v>9</v>
      </c>
      <c r="Q5" s="1">
        <f>(Table32[[#This Row],[C Variance]])*100</f>
        <v>36</v>
      </c>
      <c r="R5" s="1">
        <v>-8583.4330000000009</v>
      </c>
      <c r="S5" s="6" t="s">
        <v>25</v>
      </c>
    </row>
    <row r="6" spans="1:19" x14ac:dyDescent="0.25">
      <c r="A6" t="s">
        <v>40</v>
      </c>
      <c r="B6" t="s">
        <v>196</v>
      </c>
      <c r="C6" t="s">
        <v>7</v>
      </c>
      <c r="D6" t="s">
        <v>8</v>
      </c>
      <c r="E6" t="s">
        <v>5</v>
      </c>
      <c r="F6" t="s">
        <v>227</v>
      </c>
      <c r="G6" t="s">
        <v>10</v>
      </c>
      <c r="H6" t="s">
        <v>43</v>
      </c>
      <c r="I6" t="s">
        <v>12</v>
      </c>
      <c r="J6" t="s">
        <v>29</v>
      </c>
      <c r="K6" t="s">
        <v>7</v>
      </c>
      <c r="L6" t="s">
        <v>22</v>
      </c>
      <c r="M6" t="s">
        <v>10</v>
      </c>
      <c r="N6">
        <f>(Table32[[#This Row],[K Variance]])*100</f>
        <v>50</v>
      </c>
      <c r="O6">
        <f>(Table32[[#This Row],[F Variance]])*100</f>
        <v>0</v>
      </c>
      <c r="P6">
        <f>(Table32[[#This Row],[S Variance]])*100</f>
        <v>4</v>
      </c>
      <c r="Q6">
        <f>(Table32[[#This Row],[C Variance]])*100</f>
        <v>16</v>
      </c>
      <c r="R6" t="s">
        <v>335</v>
      </c>
      <c r="S6" t="s">
        <v>45</v>
      </c>
    </row>
    <row r="7" spans="1:19" x14ac:dyDescent="0.25">
      <c r="A7" t="s">
        <v>46</v>
      </c>
      <c r="B7" t="s">
        <v>21</v>
      </c>
      <c r="C7" t="s">
        <v>7</v>
      </c>
      <c r="D7" t="s">
        <v>8</v>
      </c>
      <c r="E7" t="s">
        <v>5</v>
      </c>
      <c r="F7" t="s">
        <v>42</v>
      </c>
      <c r="G7" t="s">
        <v>10</v>
      </c>
      <c r="H7" t="s">
        <v>42</v>
      </c>
      <c r="I7" t="s">
        <v>12</v>
      </c>
      <c r="J7" t="s">
        <v>146</v>
      </c>
      <c r="K7" t="s">
        <v>7</v>
      </c>
      <c r="L7" t="s">
        <v>22</v>
      </c>
      <c r="M7" t="s">
        <v>10</v>
      </c>
      <c r="N7">
        <f>(Table32[[#This Row],[K Variance]])*100</f>
        <v>36</v>
      </c>
      <c r="O7">
        <f>(Table32[[#This Row],[F Variance]])*100</f>
        <v>0</v>
      </c>
      <c r="P7">
        <f>(Table32[[#This Row],[S Variance]])*100</f>
        <v>5</v>
      </c>
      <c r="Q7">
        <f>(Table32[[#This Row],[C Variance]])*100</f>
        <v>5</v>
      </c>
      <c r="R7" t="s">
        <v>336</v>
      </c>
      <c r="S7" t="s">
        <v>50</v>
      </c>
    </row>
    <row r="8" spans="1:19" x14ac:dyDescent="0.25">
      <c r="A8" t="s">
        <v>51</v>
      </c>
      <c r="B8" t="s">
        <v>11</v>
      </c>
      <c r="C8" t="s">
        <v>7</v>
      </c>
      <c r="D8" t="s">
        <v>13</v>
      </c>
      <c r="E8" t="s">
        <v>5</v>
      </c>
      <c r="F8" t="s">
        <v>8</v>
      </c>
      <c r="G8" t="s">
        <v>10</v>
      </c>
      <c r="H8" t="s">
        <v>8</v>
      </c>
      <c r="I8" t="s">
        <v>12</v>
      </c>
      <c r="J8" t="s">
        <v>53</v>
      </c>
      <c r="K8" t="s">
        <v>7</v>
      </c>
      <c r="L8" t="s">
        <v>22</v>
      </c>
      <c r="M8" t="s">
        <v>10</v>
      </c>
      <c r="N8">
        <f>(Table32[[#This Row],[K Variance]])*100</f>
        <v>26</v>
      </c>
      <c r="O8">
        <f>(Table32[[#This Row],[F Variance]])*100</f>
        <v>2</v>
      </c>
      <c r="P8">
        <f>(Table32[[#This Row],[S Variance]])*100</f>
        <v>0</v>
      </c>
      <c r="Q8">
        <f>(Table32[[#This Row],[C Variance]])*100</f>
        <v>0</v>
      </c>
      <c r="R8" t="s">
        <v>337</v>
      </c>
      <c r="S8" t="s">
        <v>55</v>
      </c>
    </row>
    <row r="9" spans="1:19" x14ac:dyDescent="0.25">
      <c r="A9" t="s">
        <v>56</v>
      </c>
      <c r="B9" t="s">
        <v>36</v>
      </c>
      <c r="C9" t="s">
        <v>7</v>
      </c>
      <c r="D9" t="s">
        <v>57</v>
      </c>
      <c r="E9" t="s">
        <v>12</v>
      </c>
      <c r="F9" t="s">
        <v>8</v>
      </c>
      <c r="G9" t="s">
        <v>10</v>
      </c>
      <c r="H9" t="s">
        <v>8</v>
      </c>
      <c r="I9" t="s">
        <v>12</v>
      </c>
      <c r="J9" t="s">
        <v>58</v>
      </c>
      <c r="K9" t="s">
        <v>7</v>
      </c>
      <c r="L9" t="s">
        <v>22</v>
      </c>
      <c r="M9" t="s">
        <v>10</v>
      </c>
      <c r="N9">
        <f>(Table32[[#This Row],[K Variance]])*100</f>
        <v>17</v>
      </c>
      <c r="O9">
        <f>(Table32[[#This Row],[F Variance]])*100</f>
        <v>7.0000000000000009</v>
      </c>
      <c r="P9">
        <f>(Table32[[#This Row],[S Variance]])*100</f>
        <v>0</v>
      </c>
      <c r="Q9">
        <f>(Table32[[#This Row],[C Variance]])*100</f>
        <v>0</v>
      </c>
      <c r="R9" t="s">
        <v>338</v>
      </c>
      <c r="S9" t="s">
        <v>60</v>
      </c>
    </row>
    <row r="14" spans="1:19" ht="15" customHeight="1" x14ac:dyDescent="0.25">
      <c r="A14" s="9" t="s">
        <v>361</v>
      </c>
      <c r="B14" s="9"/>
      <c r="C14" s="9"/>
      <c r="D14" s="9"/>
      <c r="E14" s="9"/>
      <c r="F14" s="9"/>
      <c r="G14" s="9"/>
    </row>
    <row r="15" spans="1:19" ht="15" customHeight="1" x14ac:dyDescent="0.25">
      <c r="A15" s="9" t="s">
        <v>362</v>
      </c>
      <c r="B15" s="9"/>
      <c r="C15" s="9"/>
      <c r="D15" s="9"/>
      <c r="E15" s="9"/>
      <c r="F15" s="9"/>
      <c r="G15" s="9"/>
    </row>
    <row r="16" spans="1:19" x14ac:dyDescent="0.25">
      <c r="A16" s="10" t="s">
        <v>363</v>
      </c>
      <c r="B16" s="10"/>
      <c r="C16" s="10"/>
      <c r="D16" s="10"/>
      <c r="E16" s="10"/>
      <c r="F16" s="10"/>
      <c r="G16" s="10"/>
    </row>
    <row r="17" spans="1:7" x14ac:dyDescent="0.25">
      <c r="A17" s="9" t="s">
        <v>364</v>
      </c>
      <c r="B17" s="9"/>
      <c r="C17" s="9"/>
      <c r="D17" s="9"/>
      <c r="E17" s="9"/>
      <c r="F17" s="9"/>
      <c r="G17" s="9"/>
    </row>
    <row r="18" spans="1:7" ht="15" customHeight="1" x14ac:dyDescent="0.25">
      <c r="A18" s="9" t="s">
        <v>359</v>
      </c>
      <c r="B18" s="9"/>
      <c r="C18" s="9"/>
      <c r="D18" s="9"/>
      <c r="E18" s="9"/>
      <c r="F18" s="9"/>
      <c r="G18" s="9"/>
    </row>
    <row r="19" spans="1:7" ht="15" customHeight="1" x14ac:dyDescent="0.25">
      <c r="A19" s="9" t="s">
        <v>358</v>
      </c>
      <c r="B19" s="9"/>
      <c r="C19" s="9"/>
      <c r="D19" s="9"/>
      <c r="E19" s="9"/>
      <c r="F19" s="9"/>
      <c r="G19" s="9"/>
    </row>
    <row r="20" spans="1:7" x14ac:dyDescent="0.25">
      <c r="A20" t="s">
        <v>368</v>
      </c>
    </row>
  </sheetData>
  <mergeCells count="6">
    <mergeCell ref="A19:G19"/>
    <mergeCell ref="A14:G14"/>
    <mergeCell ref="A15:G15"/>
    <mergeCell ref="A16:G16"/>
    <mergeCell ref="A17:G17"/>
    <mergeCell ref="A18:G18"/>
  </mergeCells>
  <pageMargins left="0.7" right="0.7" top="0.75" bottom="0.75" header="0.3" footer="0.3"/>
  <pageSetup paperSize="9" orientation="portrait" horizontalDpi="300" verticalDpi="300" r:id="rId1"/>
  <headerFooter scaleWithDoc="0" alignWithMargins="0">
    <oddHeader>&amp;L&amp;CResults of variance component analyses using all models on the GS20K&amp;R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A12" sqref="A12:G14"/>
    </sheetView>
  </sheetViews>
  <sheetFormatPr defaultColWidth="8.85546875" defaultRowHeight="15" x14ac:dyDescent="0.25"/>
  <cols>
    <col min="1" max="1" width="25.7109375" customWidth="1"/>
    <col min="2" max="2" width="10.7109375" customWidth="1"/>
    <col min="3" max="3" width="6.7109375" customWidth="1"/>
    <col min="4" max="4" width="13.7109375" customWidth="1"/>
    <col min="5" max="5" width="7.7109375" customWidth="1"/>
    <col min="6" max="6" width="11.7109375" customWidth="1"/>
    <col min="7" max="7" width="6.7109375" customWidth="1"/>
    <col min="8" max="8" width="11.7109375" customWidth="1"/>
    <col min="9" max="10" width="8.7109375" customWidth="1"/>
    <col min="11" max="99" width="9.140625" customWidth="1"/>
  </cols>
  <sheetData>
    <row r="1" spans="1:10" x14ac:dyDescent="0.25">
      <c r="A1" t="s">
        <v>0</v>
      </c>
      <c r="B1" t="s">
        <v>343</v>
      </c>
      <c r="C1" t="s">
        <v>344</v>
      </c>
      <c r="D1" t="s">
        <v>349</v>
      </c>
      <c r="E1" t="s">
        <v>350</v>
      </c>
      <c r="F1" t="s">
        <v>351</v>
      </c>
      <c r="G1" t="s">
        <v>352</v>
      </c>
      <c r="H1" t="s">
        <v>355</v>
      </c>
      <c r="I1" t="s">
        <v>1</v>
      </c>
      <c r="J1" t="s">
        <v>2</v>
      </c>
    </row>
    <row r="2" spans="1:10" x14ac:dyDescent="0.25">
      <c r="A2" t="s">
        <v>3</v>
      </c>
      <c r="B2" t="s">
        <v>96</v>
      </c>
      <c r="C2" t="s">
        <v>10</v>
      </c>
      <c r="D2" t="s">
        <v>97</v>
      </c>
      <c r="E2" t="s">
        <v>10</v>
      </c>
      <c r="F2" t="s">
        <v>14</v>
      </c>
      <c r="G2" t="s">
        <v>10</v>
      </c>
      <c r="H2">
        <f>(Table6[[#This Row],[F Variance]])*100</f>
        <v>28.000000000000004</v>
      </c>
      <c r="I2" t="s">
        <v>98</v>
      </c>
      <c r="J2" t="s">
        <v>16</v>
      </c>
    </row>
    <row r="3" spans="1:10" x14ac:dyDescent="0.25">
      <c r="A3" t="s">
        <v>17</v>
      </c>
      <c r="B3" t="s">
        <v>73</v>
      </c>
      <c r="C3" t="s">
        <v>10</v>
      </c>
      <c r="D3" t="s">
        <v>74</v>
      </c>
      <c r="E3" t="s">
        <v>10</v>
      </c>
      <c r="F3" t="s">
        <v>22</v>
      </c>
      <c r="G3" t="s">
        <v>10</v>
      </c>
      <c r="H3">
        <f>(Table6[[#This Row],[F Variance]])*100</f>
        <v>27</v>
      </c>
      <c r="I3" t="s">
        <v>99</v>
      </c>
      <c r="J3" t="s">
        <v>25</v>
      </c>
    </row>
    <row r="4" spans="1:10" x14ac:dyDescent="0.25">
      <c r="A4" t="s">
        <v>26</v>
      </c>
      <c r="B4" t="s">
        <v>100</v>
      </c>
      <c r="C4" t="s">
        <v>10</v>
      </c>
      <c r="D4" t="s">
        <v>93</v>
      </c>
      <c r="E4" t="s">
        <v>10</v>
      </c>
      <c r="F4" t="s">
        <v>14</v>
      </c>
      <c r="G4" t="s">
        <v>10</v>
      </c>
      <c r="H4">
        <f>(Table6[[#This Row],[F Variance]])*100</f>
        <v>28.999999999999996</v>
      </c>
      <c r="I4" t="s">
        <v>101</v>
      </c>
      <c r="J4" t="s">
        <v>32</v>
      </c>
    </row>
    <row r="5" spans="1:10" x14ac:dyDescent="0.25">
      <c r="A5" t="s">
        <v>33</v>
      </c>
      <c r="B5" t="s">
        <v>34</v>
      </c>
      <c r="C5" t="s">
        <v>10</v>
      </c>
      <c r="D5" t="s">
        <v>102</v>
      </c>
      <c r="E5" t="s">
        <v>10</v>
      </c>
      <c r="F5" t="s">
        <v>22</v>
      </c>
      <c r="G5" t="s">
        <v>10</v>
      </c>
      <c r="H5">
        <f>(Table6[[#This Row],[F Variance]])*100</f>
        <v>20</v>
      </c>
      <c r="I5" t="s">
        <v>103</v>
      </c>
      <c r="J5" t="s">
        <v>39</v>
      </c>
    </row>
    <row r="6" spans="1:10" x14ac:dyDescent="0.25">
      <c r="A6" t="s">
        <v>40</v>
      </c>
      <c r="B6" t="s">
        <v>27</v>
      </c>
      <c r="C6" t="s">
        <v>10</v>
      </c>
      <c r="D6" t="s">
        <v>76</v>
      </c>
      <c r="E6" t="s">
        <v>10</v>
      </c>
      <c r="F6" t="s">
        <v>22</v>
      </c>
      <c r="G6" t="s">
        <v>10</v>
      </c>
      <c r="H6">
        <f>(Table6[[#This Row],[F Variance]])*100</f>
        <v>23</v>
      </c>
      <c r="I6" t="s">
        <v>104</v>
      </c>
      <c r="J6" t="s">
        <v>45</v>
      </c>
    </row>
    <row r="7" spans="1:10" x14ac:dyDescent="0.25">
      <c r="A7" t="s">
        <v>46</v>
      </c>
      <c r="B7" t="s">
        <v>43</v>
      </c>
      <c r="C7" t="s">
        <v>10</v>
      </c>
      <c r="D7" t="s">
        <v>105</v>
      </c>
      <c r="E7" t="s">
        <v>10</v>
      </c>
      <c r="F7" t="s">
        <v>22</v>
      </c>
      <c r="G7" t="s">
        <v>10</v>
      </c>
      <c r="H7">
        <f>(Table6[[#This Row],[F Variance]])*100</f>
        <v>16</v>
      </c>
      <c r="I7" t="s">
        <v>106</v>
      </c>
      <c r="J7" t="s">
        <v>50</v>
      </c>
    </row>
    <row r="8" spans="1:10" x14ac:dyDescent="0.25">
      <c r="A8" t="s">
        <v>51</v>
      </c>
      <c r="B8" t="s">
        <v>107</v>
      </c>
      <c r="C8" t="s">
        <v>10</v>
      </c>
      <c r="D8" t="s">
        <v>108</v>
      </c>
      <c r="E8" t="s">
        <v>10</v>
      </c>
      <c r="F8" t="s">
        <v>22</v>
      </c>
      <c r="G8" t="s">
        <v>10</v>
      </c>
      <c r="H8">
        <f>(Table6[[#This Row],[F Variance]])*100</f>
        <v>14.000000000000002</v>
      </c>
      <c r="I8" t="s">
        <v>109</v>
      </c>
      <c r="J8" t="s">
        <v>55</v>
      </c>
    </row>
    <row r="9" spans="1:10" x14ac:dyDescent="0.25">
      <c r="A9" t="s">
        <v>56</v>
      </c>
      <c r="B9" t="s">
        <v>52</v>
      </c>
      <c r="C9" t="s">
        <v>10</v>
      </c>
      <c r="D9" t="s">
        <v>110</v>
      </c>
      <c r="E9" t="s">
        <v>10</v>
      </c>
      <c r="F9" t="s">
        <v>22</v>
      </c>
      <c r="G9" t="s">
        <v>10</v>
      </c>
      <c r="H9">
        <f>(Table6[[#This Row],[F Variance]])*100</f>
        <v>15</v>
      </c>
      <c r="I9" t="s">
        <v>111</v>
      </c>
      <c r="J9" t="s">
        <v>60</v>
      </c>
    </row>
    <row r="12" spans="1:10" ht="15" customHeight="1" x14ac:dyDescent="0.25">
      <c r="A12" s="11" t="s">
        <v>362</v>
      </c>
      <c r="B12" s="11"/>
      <c r="C12" s="11"/>
      <c r="D12" s="11"/>
      <c r="E12" s="11"/>
      <c r="F12" s="11"/>
      <c r="G12" s="11"/>
    </row>
    <row r="13" spans="1:10" x14ac:dyDescent="0.25">
      <c r="A13" s="11" t="s">
        <v>359</v>
      </c>
      <c r="B13" s="11"/>
      <c r="C13" s="11"/>
      <c r="D13" s="11"/>
      <c r="E13" s="11"/>
      <c r="F13" s="11"/>
      <c r="G13" s="11"/>
    </row>
    <row r="14" spans="1:10" x14ac:dyDescent="0.25">
      <c r="A14" s="11" t="s">
        <v>358</v>
      </c>
      <c r="B14" s="11"/>
      <c r="C14" s="11"/>
      <c r="D14" s="11"/>
      <c r="E14" s="11"/>
      <c r="F14" s="11"/>
      <c r="G14" s="11"/>
    </row>
  </sheetData>
  <mergeCells count="3">
    <mergeCell ref="A12:G12"/>
    <mergeCell ref="A13:G13"/>
    <mergeCell ref="A14:G14"/>
  </mergeCells>
  <pageMargins left="0.7" right="0.7" top="0.75" bottom="0.75" header="0.3" footer="0.3"/>
  <pageSetup paperSize="9" orientation="portrait" horizontalDpi="300" verticalDpi="300"/>
  <headerFooter scaleWithDoc="0" alignWithMargins="0">
    <oddHeader>&amp;L&amp;CResults of variance component analyses using all models on the GS20K&amp;R</oddHeader>
  </headerFooter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F26" sqref="F26"/>
    </sheetView>
  </sheetViews>
  <sheetFormatPr defaultColWidth="8.85546875" defaultRowHeight="15" x14ac:dyDescent="0.25"/>
  <cols>
    <col min="1" max="1" width="25.7109375" customWidth="1"/>
    <col min="2" max="2" width="10.7109375" customWidth="1"/>
    <col min="3" max="3" width="6.7109375" customWidth="1"/>
    <col min="4" max="4" width="13.7109375" customWidth="1"/>
    <col min="5" max="5" width="7.7109375" customWidth="1"/>
    <col min="6" max="6" width="11.7109375" customWidth="1"/>
    <col min="7" max="7" width="6.7109375" customWidth="1"/>
    <col min="8" max="8" width="11.7109375" customWidth="1"/>
    <col min="9" max="10" width="8.7109375" customWidth="1"/>
    <col min="11" max="99" width="9.140625" customWidth="1"/>
  </cols>
  <sheetData>
    <row r="1" spans="1:10" x14ac:dyDescent="0.25">
      <c r="A1" t="s">
        <v>0</v>
      </c>
      <c r="B1" t="s">
        <v>345</v>
      </c>
      <c r="C1" t="s">
        <v>346</v>
      </c>
      <c r="D1" t="s">
        <v>349</v>
      </c>
      <c r="E1" t="s">
        <v>350</v>
      </c>
      <c r="F1" t="s">
        <v>351</v>
      </c>
      <c r="G1" t="s">
        <v>352</v>
      </c>
      <c r="H1" t="s">
        <v>356</v>
      </c>
      <c r="I1" t="s">
        <v>1</v>
      </c>
      <c r="J1" t="s">
        <v>2</v>
      </c>
    </row>
    <row r="2" spans="1:10" x14ac:dyDescent="0.25">
      <c r="A2" t="s">
        <v>3</v>
      </c>
      <c r="B2" t="s">
        <v>63</v>
      </c>
      <c r="C2" t="s">
        <v>10</v>
      </c>
      <c r="D2" t="s">
        <v>112</v>
      </c>
      <c r="E2" t="s">
        <v>10</v>
      </c>
      <c r="F2" t="s">
        <v>22</v>
      </c>
      <c r="G2" t="s">
        <v>10</v>
      </c>
      <c r="H2">
        <f>(Table7[[#This Row],[S Variance]])*100</f>
        <v>38</v>
      </c>
      <c r="I2" t="s">
        <v>113</v>
      </c>
      <c r="J2" t="s">
        <v>16</v>
      </c>
    </row>
    <row r="3" spans="1:10" x14ac:dyDescent="0.25">
      <c r="A3" t="s">
        <v>17</v>
      </c>
      <c r="B3" t="s">
        <v>114</v>
      </c>
      <c r="C3" t="s">
        <v>10</v>
      </c>
      <c r="D3" t="s">
        <v>91</v>
      </c>
      <c r="E3" t="s">
        <v>10</v>
      </c>
      <c r="F3" t="s">
        <v>115</v>
      </c>
      <c r="G3" t="s">
        <v>10</v>
      </c>
      <c r="H3">
        <f>(Table7[[#This Row],[S Variance]])*100</f>
        <v>37</v>
      </c>
      <c r="I3" t="s">
        <v>116</v>
      </c>
      <c r="J3" t="s">
        <v>25</v>
      </c>
    </row>
    <row r="4" spans="1:10" x14ac:dyDescent="0.25">
      <c r="A4" t="s">
        <v>26</v>
      </c>
      <c r="B4" t="s">
        <v>63</v>
      </c>
      <c r="C4" t="s">
        <v>10</v>
      </c>
      <c r="D4" t="s">
        <v>64</v>
      </c>
      <c r="E4" t="s">
        <v>10</v>
      </c>
      <c r="F4" t="s">
        <v>22</v>
      </c>
      <c r="G4" t="s">
        <v>10</v>
      </c>
      <c r="H4">
        <f>(Table7[[#This Row],[S Variance]])*100</f>
        <v>38</v>
      </c>
      <c r="I4" t="s">
        <v>117</v>
      </c>
      <c r="J4" t="s">
        <v>32</v>
      </c>
    </row>
    <row r="5" spans="1:10" x14ac:dyDescent="0.25">
      <c r="A5" t="s">
        <v>33</v>
      </c>
      <c r="B5" t="s">
        <v>73</v>
      </c>
      <c r="C5" t="s">
        <v>10</v>
      </c>
      <c r="D5" t="s">
        <v>74</v>
      </c>
      <c r="E5" t="s">
        <v>10</v>
      </c>
      <c r="F5" t="s">
        <v>22</v>
      </c>
      <c r="G5" t="s">
        <v>10</v>
      </c>
      <c r="H5">
        <f>(Table7[[#This Row],[S Variance]])*100</f>
        <v>27</v>
      </c>
      <c r="I5" t="s">
        <v>118</v>
      </c>
      <c r="J5" t="s">
        <v>39</v>
      </c>
    </row>
    <row r="6" spans="1:10" x14ac:dyDescent="0.25">
      <c r="A6" t="s">
        <v>40</v>
      </c>
      <c r="B6" t="s">
        <v>96</v>
      </c>
      <c r="C6" t="s">
        <v>10</v>
      </c>
      <c r="D6" t="s">
        <v>53</v>
      </c>
      <c r="E6" t="s">
        <v>10</v>
      </c>
      <c r="F6" t="s">
        <v>22</v>
      </c>
      <c r="G6" t="s">
        <v>10</v>
      </c>
      <c r="H6">
        <f>(Table7[[#This Row],[S Variance]])*100</f>
        <v>28.000000000000004</v>
      </c>
      <c r="I6" t="s">
        <v>119</v>
      </c>
      <c r="J6" t="s">
        <v>45</v>
      </c>
    </row>
    <row r="7" spans="1:10" x14ac:dyDescent="0.25">
      <c r="A7" t="s">
        <v>46</v>
      </c>
      <c r="B7" t="s">
        <v>120</v>
      </c>
      <c r="C7" t="s">
        <v>10</v>
      </c>
      <c r="D7" t="s">
        <v>121</v>
      </c>
      <c r="E7" t="s">
        <v>10</v>
      </c>
      <c r="F7" t="s">
        <v>22</v>
      </c>
      <c r="G7" t="s">
        <v>10</v>
      </c>
      <c r="H7">
        <f>(Table7[[#This Row],[S Variance]])*100</f>
        <v>22</v>
      </c>
      <c r="I7" t="s">
        <v>122</v>
      </c>
      <c r="J7" t="s">
        <v>50</v>
      </c>
    </row>
    <row r="8" spans="1:10" x14ac:dyDescent="0.25">
      <c r="A8" t="s">
        <v>51</v>
      </c>
      <c r="B8" t="s">
        <v>52</v>
      </c>
      <c r="C8" t="s">
        <v>10</v>
      </c>
      <c r="D8" t="s">
        <v>110</v>
      </c>
      <c r="E8" t="s">
        <v>10</v>
      </c>
      <c r="F8" t="s">
        <v>22</v>
      </c>
      <c r="G8" t="s">
        <v>10</v>
      </c>
      <c r="H8">
        <f>(Table7[[#This Row],[S Variance]])*100</f>
        <v>15</v>
      </c>
      <c r="I8" t="s">
        <v>123</v>
      </c>
      <c r="J8" t="s">
        <v>55</v>
      </c>
    </row>
    <row r="9" spans="1:10" x14ac:dyDescent="0.25">
      <c r="A9" t="s">
        <v>56</v>
      </c>
      <c r="B9" t="s">
        <v>43</v>
      </c>
      <c r="C9" t="s">
        <v>10</v>
      </c>
      <c r="D9" t="s">
        <v>105</v>
      </c>
      <c r="E9" t="s">
        <v>10</v>
      </c>
      <c r="F9" t="s">
        <v>22</v>
      </c>
      <c r="G9" t="s">
        <v>10</v>
      </c>
      <c r="H9">
        <f>(Table7[[#This Row],[S Variance]])*100</f>
        <v>16</v>
      </c>
      <c r="I9" t="s">
        <v>124</v>
      </c>
      <c r="J9" t="s">
        <v>60</v>
      </c>
    </row>
    <row r="12" spans="1:10" x14ac:dyDescent="0.25">
      <c r="A12" s="3" t="s">
        <v>363</v>
      </c>
      <c r="B12" s="3"/>
      <c r="C12" s="3"/>
      <c r="D12" s="3"/>
      <c r="E12" s="3"/>
      <c r="F12" s="3"/>
      <c r="G12" s="3"/>
      <c r="H12" s="3"/>
    </row>
    <row r="13" spans="1:10" x14ac:dyDescent="0.25">
      <c r="A13" s="4" t="s">
        <v>359</v>
      </c>
      <c r="B13" s="4"/>
      <c r="C13" s="4"/>
      <c r="D13" s="4"/>
      <c r="E13" s="3"/>
      <c r="F13" s="3"/>
      <c r="G13" s="3"/>
      <c r="H13" s="3"/>
    </row>
    <row r="14" spans="1:10" x14ac:dyDescent="0.25">
      <c r="A14" s="4" t="s">
        <v>358</v>
      </c>
      <c r="B14" s="4"/>
      <c r="C14" s="4"/>
      <c r="D14" s="4"/>
      <c r="E14" s="3"/>
      <c r="F14" s="3"/>
      <c r="G14" s="3"/>
      <c r="H14" s="3"/>
    </row>
  </sheetData>
  <pageMargins left="0.7" right="0.7" top="0.75" bottom="0.75" header="0.3" footer="0.3"/>
  <pageSetup paperSize="9" orientation="portrait" horizontalDpi="300" verticalDpi="300"/>
  <headerFooter scaleWithDoc="0" alignWithMargins="0">
    <oddHeader>&amp;L&amp;CResults of variance component analyses using all models on the GS20K&amp;R</oddHeader>
  </headerFooter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A12" sqref="A12:F12"/>
    </sheetView>
  </sheetViews>
  <sheetFormatPr defaultColWidth="8.85546875" defaultRowHeight="15" x14ac:dyDescent="0.25"/>
  <cols>
    <col min="1" max="1" width="25.7109375" customWidth="1"/>
    <col min="2" max="2" width="10.7109375" customWidth="1"/>
    <col min="3" max="3" width="6.7109375" customWidth="1"/>
    <col min="4" max="4" width="13.7109375" customWidth="1"/>
    <col min="5" max="5" width="7.7109375" customWidth="1"/>
    <col min="6" max="6" width="11.7109375" customWidth="1"/>
    <col min="7" max="7" width="6.7109375" customWidth="1"/>
    <col min="8" max="8" width="11.7109375" customWidth="1"/>
    <col min="9" max="10" width="8.7109375" customWidth="1"/>
    <col min="11" max="99" width="9.140625" customWidth="1"/>
  </cols>
  <sheetData>
    <row r="1" spans="1:10" x14ac:dyDescent="0.25">
      <c r="A1" t="s">
        <v>0</v>
      </c>
      <c r="B1" t="s">
        <v>347</v>
      </c>
      <c r="C1" t="s">
        <v>348</v>
      </c>
      <c r="D1" t="s">
        <v>349</v>
      </c>
      <c r="E1" t="s">
        <v>350</v>
      </c>
      <c r="F1" t="s">
        <v>351</v>
      </c>
      <c r="G1" t="s">
        <v>352</v>
      </c>
      <c r="H1" t="s">
        <v>357</v>
      </c>
      <c r="I1" t="s">
        <v>1</v>
      </c>
      <c r="J1" t="s">
        <v>2</v>
      </c>
    </row>
    <row r="2" spans="1:10" x14ac:dyDescent="0.25">
      <c r="A2" t="s">
        <v>3</v>
      </c>
      <c r="B2" t="s">
        <v>29</v>
      </c>
      <c r="C2" t="s">
        <v>5</v>
      </c>
      <c r="D2" t="s">
        <v>97</v>
      </c>
      <c r="E2" t="s">
        <v>5</v>
      </c>
      <c r="F2" t="s">
        <v>22</v>
      </c>
      <c r="G2" t="s">
        <v>10</v>
      </c>
      <c r="H2">
        <f>(Table8[[#This Row],[C Variance]])*100</f>
        <v>30</v>
      </c>
      <c r="I2" t="s">
        <v>125</v>
      </c>
      <c r="J2" t="s">
        <v>16</v>
      </c>
    </row>
    <row r="3" spans="1:10" x14ac:dyDescent="0.25">
      <c r="A3" t="s">
        <v>17</v>
      </c>
      <c r="B3" t="s">
        <v>19</v>
      </c>
      <c r="C3" t="s">
        <v>5</v>
      </c>
      <c r="D3" t="s">
        <v>126</v>
      </c>
      <c r="E3" t="s">
        <v>5</v>
      </c>
      <c r="F3" t="s">
        <v>22</v>
      </c>
      <c r="G3" t="s">
        <v>10</v>
      </c>
      <c r="H3">
        <f>(Table8[[#This Row],[C Variance]])*100</f>
        <v>40</v>
      </c>
      <c r="I3" t="s">
        <v>127</v>
      </c>
      <c r="J3" t="s">
        <v>25</v>
      </c>
    </row>
    <row r="4" spans="1:10" x14ac:dyDescent="0.25">
      <c r="A4" t="s">
        <v>26</v>
      </c>
      <c r="B4" t="s">
        <v>128</v>
      </c>
      <c r="C4" t="s">
        <v>5</v>
      </c>
      <c r="D4" t="s">
        <v>129</v>
      </c>
      <c r="E4" t="s">
        <v>5</v>
      </c>
      <c r="F4" t="s">
        <v>22</v>
      </c>
      <c r="G4" t="s">
        <v>10</v>
      </c>
      <c r="H4">
        <f>(Table8[[#This Row],[C Variance]])*100</f>
        <v>35</v>
      </c>
      <c r="I4" t="s">
        <v>130</v>
      </c>
      <c r="J4" t="s">
        <v>32</v>
      </c>
    </row>
    <row r="5" spans="1:10" x14ac:dyDescent="0.25">
      <c r="A5" t="s">
        <v>33</v>
      </c>
      <c r="B5" t="s">
        <v>52</v>
      </c>
      <c r="C5" t="s">
        <v>5</v>
      </c>
      <c r="D5" t="s">
        <v>110</v>
      </c>
      <c r="E5" t="s">
        <v>12</v>
      </c>
      <c r="F5" t="s">
        <v>22</v>
      </c>
      <c r="G5" t="s">
        <v>10</v>
      </c>
      <c r="H5">
        <f>(Table8[[#This Row],[C Variance]])*100</f>
        <v>15</v>
      </c>
      <c r="I5" t="s">
        <v>131</v>
      </c>
      <c r="J5" t="s">
        <v>39</v>
      </c>
    </row>
    <row r="6" spans="1:10" x14ac:dyDescent="0.25">
      <c r="A6" t="s">
        <v>40</v>
      </c>
      <c r="B6" t="s">
        <v>36</v>
      </c>
      <c r="C6" t="s">
        <v>5</v>
      </c>
      <c r="D6" t="s">
        <v>132</v>
      </c>
      <c r="E6" t="s">
        <v>5</v>
      </c>
      <c r="F6" t="s">
        <v>22</v>
      </c>
      <c r="G6" t="s">
        <v>10</v>
      </c>
      <c r="H6">
        <f>(Table8[[#This Row],[C Variance]])*100</f>
        <v>17</v>
      </c>
      <c r="I6" t="s">
        <v>133</v>
      </c>
      <c r="J6" t="s">
        <v>45</v>
      </c>
    </row>
    <row r="7" spans="1:10" x14ac:dyDescent="0.25">
      <c r="A7" t="s">
        <v>46</v>
      </c>
      <c r="B7" t="s">
        <v>28</v>
      </c>
      <c r="C7" t="s">
        <v>5</v>
      </c>
      <c r="D7" t="s">
        <v>134</v>
      </c>
      <c r="E7" t="s">
        <v>12</v>
      </c>
      <c r="F7" t="s">
        <v>22</v>
      </c>
      <c r="G7" t="s">
        <v>10</v>
      </c>
      <c r="H7">
        <f>(Table8[[#This Row],[C Variance]])*100</f>
        <v>6</v>
      </c>
      <c r="I7" t="s">
        <v>135</v>
      </c>
      <c r="J7" t="s">
        <v>50</v>
      </c>
    </row>
    <row r="8" spans="1:10" x14ac:dyDescent="0.25">
      <c r="A8" t="s">
        <v>51</v>
      </c>
      <c r="B8" t="s">
        <v>136</v>
      </c>
      <c r="C8" t="s">
        <v>12</v>
      </c>
      <c r="D8" t="s">
        <v>137</v>
      </c>
      <c r="E8" t="s">
        <v>12</v>
      </c>
      <c r="F8" t="s">
        <v>22</v>
      </c>
      <c r="G8" t="s">
        <v>10</v>
      </c>
      <c r="H8">
        <f>(Table8[[#This Row],[C Variance]])*100</f>
        <v>3</v>
      </c>
      <c r="I8" t="s">
        <v>138</v>
      </c>
      <c r="J8" t="s">
        <v>55</v>
      </c>
    </row>
    <row r="9" spans="1:10" x14ac:dyDescent="0.25">
      <c r="A9" t="s">
        <v>56</v>
      </c>
      <c r="B9" t="s">
        <v>57</v>
      </c>
      <c r="C9" t="s">
        <v>5</v>
      </c>
      <c r="D9" t="s">
        <v>139</v>
      </c>
      <c r="E9" t="s">
        <v>12</v>
      </c>
      <c r="F9" t="s">
        <v>22</v>
      </c>
      <c r="G9" t="s">
        <v>10</v>
      </c>
      <c r="H9">
        <f>(Table8[[#This Row],[C Variance]])*100</f>
        <v>7.0000000000000009</v>
      </c>
      <c r="I9" t="s">
        <v>140</v>
      </c>
      <c r="J9" t="s">
        <v>60</v>
      </c>
    </row>
    <row r="12" spans="1:10" ht="15" customHeight="1" x14ac:dyDescent="0.25">
      <c r="A12" s="11" t="s">
        <v>364</v>
      </c>
      <c r="B12" s="11"/>
      <c r="C12" s="11"/>
      <c r="D12" s="11"/>
      <c r="E12" s="11"/>
      <c r="F12" s="11"/>
    </row>
    <row r="13" spans="1:10" ht="15" customHeight="1" x14ac:dyDescent="0.25">
      <c r="A13" s="4" t="s">
        <v>359</v>
      </c>
      <c r="B13" s="4" t="s">
        <v>359</v>
      </c>
      <c r="C13" s="4" t="s">
        <v>359</v>
      </c>
      <c r="D13" s="4" t="s">
        <v>359</v>
      </c>
    </row>
    <row r="14" spans="1:10" x14ac:dyDescent="0.25">
      <c r="A14" s="4" t="s">
        <v>358</v>
      </c>
      <c r="B14" s="4" t="s">
        <v>358</v>
      </c>
      <c r="C14" s="4" t="s">
        <v>358</v>
      </c>
      <c r="D14" s="4" t="s">
        <v>358</v>
      </c>
    </row>
  </sheetData>
  <mergeCells count="1">
    <mergeCell ref="A12:F12"/>
  </mergeCells>
  <pageMargins left="0.7" right="0.7" top="0.75" bottom="0.75" header="0.3" footer="0.3"/>
  <pageSetup paperSize="9" orientation="portrait" horizontalDpi="300" verticalDpi="300"/>
  <headerFooter scaleWithDoc="0" alignWithMargins="0">
    <oddHeader>&amp;L&amp;CResults of variance component analyses using all models on the GS20K&amp;R</oddHeader>
  </headerFooter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A12" sqref="A12:G15"/>
    </sheetView>
  </sheetViews>
  <sheetFormatPr defaultColWidth="8.85546875" defaultRowHeight="15" x14ac:dyDescent="0.25"/>
  <cols>
    <col min="1" max="1" width="25.7109375" customWidth="1"/>
    <col min="2" max="2" width="10.7109375" customWidth="1"/>
    <col min="3" max="3" width="6.7109375" customWidth="1"/>
    <col min="4" max="4" width="10.7109375" customWidth="1"/>
    <col min="5" max="5" width="6.7109375" customWidth="1"/>
    <col min="6" max="6" width="13.7109375" customWidth="1"/>
    <col min="7" max="7" width="7.7109375" customWidth="1"/>
    <col min="8" max="8" width="11.7109375" customWidth="1"/>
    <col min="9" max="9" width="6.7109375" customWidth="1"/>
    <col min="10" max="11" width="11.7109375" customWidth="1"/>
    <col min="12" max="13" width="8.7109375" customWidth="1"/>
    <col min="14" max="98" width="9.140625" customWidth="1"/>
  </cols>
  <sheetData>
    <row r="1" spans="1:13" x14ac:dyDescent="0.25">
      <c r="A1" t="s">
        <v>0</v>
      </c>
      <c r="B1" t="s">
        <v>339</v>
      </c>
      <c r="C1" t="s">
        <v>340</v>
      </c>
      <c r="D1" t="s">
        <v>341</v>
      </c>
      <c r="E1" t="s">
        <v>342</v>
      </c>
      <c r="F1" t="s">
        <v>349</v>
      </c>
      <c r="G1" t="s">
        <v>350</v>
      </c>
      <c r="H1" t="s">
        <v>351</v>
      </c>
      <c r="I1" t="s">
        <v>352</v>
      </c>
      <c r="J1" t="s">
        <v>353</v>
      </c>
      <c r="K1" t="s">
        <v>354</v>
      </c>
      <c r="L1" t="s">
        <v>1</v>
      </c>
      <c r="M1" t="s">
        <v>2</v>
      </c>
    </row>
    <row r="2" spans="1:13" x14ac:dyDescent="0.25">
      <c r="A2" t="s">
        <v>3</v>
      </c>
      <c r="B2" t="s">
        <v>47</v>
      </c>
      <c r="C2" t="s">
        <v>5</v>
      </c>
      <c r="D2" t="s">
        <v>37</v>
      </c>
      <c r="E2" t="s">
        <v>12</v>
      </c>
      <c r="F2" t="s">
        <v>80</v>
      </c>
      <c r="G2" t="s">
        <v>10</v>
      </c>
      <c r="H2" t="s">
        <v>14</v>
      </c>
      <c r="I2" t="s">
        <v>10</v>
      </c>
      <c r="J2">
        <f>(Table9[[#This Row],[G Variance]])*100</f>
        <v>24</v>
      </c>
      <c r="K2">
        <f>(Table9[[#This Row],[K Variance]])*100</f>
        <v>32</v>
      </c>
      <c r="L2" t="s">
        <v>141</v>
      </c>
      <c r="M2" t="s">
        <v>16</v>
      </c>
    </row>
    <row r="3" spans="1:13" x14ac:dyDescent="0.25">
      <c r="A3" t="s">
        <v>17</v>
      </c>
      <c r="B3" t="s">
        <v>41</v>
      </c>
      <c r="C3" t="s">
        <v>5</v>
      </c>
      <c r="D3" t="s">
        <v>29</v>
      </c>
      <c r="E3" t="s">
        <v>12</v>
      </c>
      <c r="F3" t="s">
        <v>67</v>
      </c>
      <c r="G3" t="s">
        <v>5</v>
      </c>
      <c r="H3" t="s">
        <v>14</v>
      </c>
      <c r="I3" t="s">
        <v>10</v>
      </c>
      <c r="J3">
        <f>(Table9[[#This Row],[G Variance]])*100</f>
        <v>18</v>
      </c>
      <c r="K3">
        <f>(Table9[[#This Row],[K Variance]])*100</f>
        <v>30</v>
      </c>
      <c r="L3" t="s">
        <v>142</v>
      </c>
      <c r="M3" t="s">
        <v>25</v>
      </c>
    </row>
    <row r="4" spans="1:13" x14ac:dyDescent="0.25">
      <c r="A4" t="s">
        <v>26</v>
      </c>
      <c r="B4" t="s">
        <v>73</v>
      </c>
      <c r="C4" t="s">
        <v>5</v>
      </c>
      <c r="D4" t="s">
        <v>100</v>
      </c>
      <c r="E4" t="s">
        <v>12</v>
      </c>
      <c r="F4" t="s">
        <v>80</v>
      </c>
      <c r="G4" t="s">
        <v>10</v>
      </c>
      <c r="H4" t="s">
        <v>14</v>
      </c>
      <c r="I4" t="s">
        <v>10</v>
      </c>
      <c r="J4">
        <f>(Table9[[#This Row],[G Variance]])*100</f>
        <v>27</v>
      </c>
      <c r="K4">
        <f>(Table9[[#This Row],[K Variance]])*100</f>
        <v>28.999999999999996</v>
      </c>
      <c r="L4" t="s">
        <v>143</v>
      </c>
      <c r="M4" t="s">
        <v>32</v>
      </c>
    </row>
    <row r="5" spans="1:13" x14ac:dyDescent="0.25">
      <c r="A5" t="s">
        <v>33</v>
      </c>
      <c r="B5" t="s">
        <v>120</v>
      </c>
      <c r="C5" t="s">
        <v>5</v>
      </c>
      <c r="D5" t="s">
        <v>41</v>
      </c>
      <c r="E5" t="s">
        <v>12</v>
      </c>
      <c r="F5" t="s">
        <v>126</v>
      </c>
      <c r="G5" t="s">
        <v>5</v>
      </c>
      <c r="H5" t="s">
        <v>22</v>
      </c>
      <c r="I5" t="s">
        <v>10</v>
      </c>
      <c r="J5">
        <f>(Table9[[#This Row],[G Variance]])*100</f>
        <v>22</v>
      </c>
      <c r="K5">
        <f>(Table9[[#This Row],[K Variance]])*100</f>
        <v>18</v>
      </c>
      <c r="L5" t="s">
        <v>144</v>
      </c>
      <c r="M5" t="s">
        <v>39</v>
      </c>
    </row>
    <row r="6" spans="1:13" x14ac:dyDescent="0.25">
      <c r="A6" t="s">
        <v>40</v>
      </c>
      <c r="B6" t="s">
        <v>145</v>
      </c>
      <c r="C6" t="s">
        <v>5</v>
      </c>
      <c r="D6" t="s">
        <v>96</v>
      </c>
      <c r="E6" t="s">
        <v>12</v>
      </c>
      <c r="F6" t="s">
        <v>146</v>
      </c>
      <c r="G6" t="s">
        <v>5</v>
      </c>
      <c r="H6" t="s">
        <v>22</v>
      </c>
      <c r="I6" t="s">
        <v>10</v>
      </c>
      <c r="J6">
        <f>(Table9[[#This Row],[G Variance]])*100</f>
        <v>19</v>
      </c>
      <c r="K6">
        <f>(Table9[[#This Row],[K Variance]])*100</f>
        <v>28.000000000000004</v>
      </c>
      <c r="L6" t="s">
        <v>147</v>
      </c>
      <c r="M6" t="s">
        <v>45</v>
      </c>
    </row>
    <row r="7" spans="1:13" x14ac:dyDescent="0.25">
      <c r="A7" t="s">
        <v>46</v>
      </c>
      <c r="B7" t="s">
        <v>148</v>
      </c>
      <c r="C7" t="s">
        <v>5</v>
      </c>
      <c r="D7" t="s">
        <v>47</v>
      </c>
      <c r="E7" t="s">
        <v>12</v>
      </c>
      <c r="F7" t="s">
        <v>91</v>
      </c>
      <c r="G7" t="s">
        <v>5</v>
      </c>
      <c r="H7" t="s">
        <v>22</v>
      </c>
      <c r="I7" t="s">
        <v>10</v>
      </c>
      <c r="J7">
        <f>(Table9[[#This Row],[G Variance]])*100</f>
        <v>12</v>
      </c>
      <c r="K7">
        <f>(Table9[[#This Row],[K Variance]])*100</f>
        <v>24</v>
      </c>
      <c r="L7" t="s">
        <v>149</v>
      </c>
      <c r="M7" t="s">
        <v>50</v>
      </c>
    </row>
    <row r="8" spans="1:13" x14ac:dyDescent="0.25">
      <c r="A8" t="s">
        <v>51</v>
      </c>
      <c r="B8" t="s">
        <v>20</v>
      </c>
      <c r="C8" t="s">
        <v>5</v>
      </c>
      <c r="D8" t="s">
        <v>145</v>
      </c>
      <c r="E8" t="s">
        <v>12</v>
      </c>
      <c r="F8" t="s">
        <v>93</v>
      </c>
      <c r="G8" t="s">
        <v>5</v>
      </c>
      <c r="H8" t="s">
        <v>22</v>
      </c>
      <c r="I8" t="s">
        <v>10</v>
      </c>
      <c r="J8">
        <f>(Table9[[#This Row],[G Variance]])*100</f>
        <v>11</v>
      </c>
      <c r="K8">
        <f>(Table9[[#This Row],[K Variance]])*100</f>
        <v>19</v>
      </c>
      <c r="L8" t="s">
        <v>150</v>
      </c>
      <c r="M8" t="s">
        <v>55</v>
      </c>
    </row>
    <row r="9" spans="1:13" x14ac:dyDescent="0.25">
      <c r="A9" t="s">
        <v>56</v>
      </c>
      <c r="B9" t="s">
        <v>148</v>
      </c>
      <c r="C9" t="s">
        <v>5</v>
      </c>
      <c r="D9" t="s">
        <v>41</v>
      </c>
      <c r="E9" t="s">
        <v>12</v>
      </c>
      <c r="F9" t="s">
        <v>93</v>
      </c>
      <c r="G9" t="s">
        <v>5</v>
      </c>
      <c r="H9" t="s">
        <v>22</v>
      </c>
      <c r="I9" t="s">
        <v>10</v>
      </c>
      <c r="J9">
        <f>(Table9[[#This Row],[G Variance]])*100</f>
        <v>12</v>
      </c>
      <c r="K9">
        <f>(Table9[[#This Row],[K Variance]])*100</f>
        <v>18</v>
      </c>
      <c r="L9" t="s">
        <v>151</v>
      </c>
      <c r="M9" t="s">
        <v>60</v>
      </c>
    </row>
    <row r="12" spans="1:13" ht="15" customHeight="1" x14ac:dyDescent="0.25">
      <c r="A12" s="9" t="s">
        <v>360</v>
      </c>
      <c r="B12" s="9"/>
      <c r="C12" s="9"/>
      <c r="D12" s="9"/>
      <c r="E12" s="9"/>
      <c r="F12" s="9"/>
      <c r="G12" s="9"/>
    </row>
    <row r="13" spans="1:13" ht="15" customHeight="1" x14ac:dyDescent="0.25">
      <c r="A13" s="9" t="s">
        <v>361</v>
      </c>
      <c r="B13" s="9"/>
      <c r="C13" s="9"/>
      <c r="D13" s="9"/>
      <c r="E13" s="9"/>
      <c r="F13" s="9"/>
      <c r="G13" s="9"/>
    </row>
    <row r="14" spans="1:13" x14ac:dyDescent="0.25">
      <c r="A14" s="9" t="s">
        <v>359</v>
      </c>
      <c r="B14" s="9"/>
      <c r="C14" s="9"/>
      <c r="D14" s="9"/>
      <c r="E14" s="9"/>
      <c r="F14" s="9"/>
      <c r="G14" s="9"/>
    </row>
    <row r="15" spans="1:13" x14ac:dyDescent="0.25">
      <c r="A15" s="9" t="s">
        <v>358</v>
      </c>
      <c r="B15" s="9"/>
      <c r="C15" s="9"/>
      <c r="D15" s="9"/>
      <c r="E15" s="9"/>
      <c r="F15" s="9"/>
      <c r="G15" s="9"/>
    </row>
  </sheetData>
  <mergeCells count="4">
    <mergeCell ref="A14:G14"/>
    <mergeCell ref="A15:G15"/>
    <mergeCell ref="A12:G12"/>
    <mergeCell ref="A13:G13"/>
  </mergeCells>
  <pageMargins left="0.7" right="0.7" top="0.75" bottom="0.75" header="0.3" footer="0.3"/>
  <pageSetup paperSize="9" orientation="portrait" horizontalDpi="300" verticalDpi="300"/>
  <headerFooter scaleWithDoc="0" alignWithMargins="0">
    <oddHeader>&amp;L&amp;CResults of variance component analyses using all models on the GS20K&amp;R</oddHeader>
  </headerFooter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A12" sqref="A12:G15"/>
    </sheetView>
  </sheetViews>
  <sheetFormatPr defaultColWidth="8.85546875" defaultRowHeight="15" x14ac:dyDescent="0.25"/>
  <cols>
    <col min="1" max="1" width="25.7109375" customWidth="1"/>
    <col min="2" max="2" width="10.7109375" customWidth="1"/>
    <col min="3" max="3" width="6.7109375" customWidth="1"/>
    <col min="4" max="4" width="10.7109375" customWidth="1"/>
    <col min="5" max="5" width="6.7109375" customWidth="1"/>
    <col min="6" max="6" width="13.7109375" customWidth="1"/>
    <col min="7" max="7" width="7.7109375" customWidth="1"/>
    <col min="8" max="8" width="11.7109375" customWidth="1"/>
    <col min="9" max="9" width="6.7109375" customWidth="1"/>
    <col min="10" max="11" width="11.7109375" customWidth="1"/>
    <col min="12" max="13" width="8.7109375" customWidth="1"/>
    <col min="14" max="98" width="9.140625" customWidth="1"/>
  </cols>
  <sheetData>
    <row r="1" spans="1:13" x14ac:dyDescent="0.25">
      <c r="A1" t="s">
        <v>0</v>
      </c>
      <c r="B1" t="s">
        <v>339</v>
      </c>
      <c r="C1" t="s">
        <v>340</v>
      </c>
      <c r="D1" t="s">
        <v>343</v>
      </c>
      <c r="E1" t="s">
        <v>344</v>
      </c>
      <c r="F1" t="s">
        <v>349</v>
      </c>
      <c r="G1" t="s">
        <v>350</v>
      </c>
      <c r="H1" t="s">
        <v>351</v>
      </c>
      <c r="I1" t="s">
        <v>352</v>
      </c>
      <c r="J1" t="s">
        <v>353</v>
      </c>
      <c r="K1" t="s">
        <v>355</v>
      </c>
      <c r="L1" t="s">
        <v>1</v>
      </c>
      <c r="M1" t="s">
        <v>2</v>
      </c>
    </row>
    <row r="2" spans="1:13" x14ac:dyDescent="0.25">
      <c r="A2" t="s">
        <v>3</v>
      </c>
      <c r="B2" t="s">
        <v>11</v>
      </c>
      <c r="C2" t="s">
        <v>5</v>
      </c>
      <c r="D2" t="s">
        <v>36</v>
      </c>
      <c r="E2" t="s">
        <v>10</v>
      </c>
      <c r="F2" t="s">
        <v>79</v>
      </c>
      <c r="G2" t="s">
        <v>10</v>
      </c>
      <c r="H2" t="s">
        <v>14</v>
      </c>
      <c r="I2" t="s">
        <v>10</v>
      </c>
      <c r="J2">
        <f>(Table10[[#This Row],[G Variance]])*100</f>
        <v>26</v>
      </c>
      <c r="K2">
        <f>(Table10[[#This Row],[F Variance]])*100</f>
        <v>17</v>
      </c>
      <c r="L2" t="s">
        <v>152</v>
      </c>
      <c r="M2" t="s">
        <v>16</v>
      </c>
    </row>
    <row r="3" spans="1:13" x14ac:dyDescent="0.25">
      <c r="A3" t="s">
        <v>17</v>
      </c>
      <c r="B3" t="s">
        <v>43</v>
      </c>
      <c r="C3" t="s">
        <v>5</v>
      </c>
      <c r="D3" t="s">
        <v>34</v>
      </c>
      <c r="E3" t="s">
        <v>10</v>
      </c>
      <c r="F3" t="s">
        <v>91</v>
      </c>
      <c r="G3" t="s">
        <v>10</v>
      </c>
      <c r="H3" t="s">
        <v>22</v>
      </c>
      <c r="I3" t="s">
        <v>10</v>
      </c>
      <c r="J3">
        <f>(Table10[[#This Row],[G Variance]])*100</f>
        <v>16</v>
      </c>
      <c r="K3">
        <f>(Table10[[#This Row],[F Variance]])*100</f>
        <v>20</v>
      </c>
      <c r="L3" t="s">
        <v>153</v>
      </c>
      <c r="M3" t="s">
        <v>25</v>
      </c>
    </row>
    <row r="4" spans="1:13" x14ac:dyDescent="0.25">
      <c r="A4" t="s">
        <v>26</v>
      </c>
      <c r="B4" t="s">
        <v>73</v>
      </c>
      <c r="C4" t="s">
        <v>5</v>
      </c>
      <c r="D4" t="s">
        <v>36</v>
      </c>
      <c r="E4" t="s">
        <v>10</v>
      </c>
      <c r="F4" t="s">
        <v>154</v>
      </c>
      <c r="G4" t="s">
        <v>10</v>
      </c>
      <c r="H4" t="s">
        <v>14</v>
      </c>
      <c r="I4" t="s">
        <v>10</v>
      </c>
      <c r="J4">
        <f>(Table10[[#This Row],[G Variance]])*100</f>
        <v>27</v>
      </c>
      <c r="K4">
        <f>(Table10[[#This Row],[F Variance]])*100</f>
        <v>17</v>
      </c>
      <c r="L4" t="s">
        <v>155</v>
      </c>
      <c r="M4" t="s">
        <v>32</v>
      </c>
    </row>
    <row r="5" spans="1:13" x14ac:dyDescent="0.25">
      <c r="A5" t="s">
        <v>33</v>
      </c>
      <c r="B5" t="s">
        <v>47</v>
      </c>
      <c r="C5" t="s">
        <v>5</v>
      </c>
      <c r="D5" t="s">
        <v>9</v>
      </c>
      <c r="E5" t="s">
        <v>10</v>
      </c>
      <c r="F5" t="s">
        <v>156</v>
      </c>
      <c r="G5" t="s">
        <v>10</v>
      </c>
      <c r="H5" t="s">
        <v>22</v>
      </c>
      <c r="I5" t="s">
        <v>10</v>
      </c>
      <c r="J5">
        <f>(Table10[[#This Row],[G Variance]])*100</f>
        <v>24</v>
      </c>
      <c r="K5">
        <f>(Table10[[#This Row],[F Variance]])*100</f>
        <v>9</v>
      </c>
      <c r="L5" t="s">
        <v>157</v>
      </c>
      <c r="M5" t="s">
        <v>39</v>
      </c>
    </row>
    <row r="6" spans="1:13" x14ac:dyDescent="0.25">
      <c r="A6" t="s">
        <v>40</v>
      </c>
      <c r="B6" t="s">
        <v>120</v>
      </c>
      <c r="C6" t="s">
        <v>5</v>
      </c>
      <c r="D6" t="s">
        <v>18</v>
      </c>
      <c r="E6" t="s">
        <v>10</v>
      </c>
      <c r="F6" t="s">
        <v>129</v>
      </c>
      <c r="G6" t="s">
        <v>10</v>
      </c>
      <c r="H6" t="s">
        <v>22</v>
      </c>
      <c r="I6" t="s">
        <v>10</v>
      </c>
      <c r="J6">
        <f>(Table10[[#This Row],[G Variance]])*100</f>
        <v>22</v>
      </c>
      <c r="K6">
        <f>(Table10[[#This Row],[F Variance]])*100</f>
        <v>13</v>
      </c>
      <c r="L6" t="s">
        <v>158</v>
      </c>
      <c r="M6" t="s">
        <v>45</v>
      </c>
    </row>
    <row r="7" spans="1:13" x14ac:dyDescent="0.25">
      <c r="A7" t="s">
        <v>46</v>
      </c>
      <c r="B7" t="s">
        <v>36</v>
      </c>
      <c r="C7" t="s">
        <v>5</v>
      </c>
      <c r="D7" t="s">
        <v>9</v>
      </c>
      <c r="E7" t="s">
        <v>10</v>
      </c>
      <c r="F7" t="s">
        <v>159</v>
      </c>
      <c r="G7" t="s">
        <v>10</v>
      </c>
      <c r="H7" t="s">
        <v>22</v>
      </c>
      <c r="I7" t="s">
        <v>10</v>
      </c>
      <c r="J7">
        <f>(Table10[[#This Row],[G Variance]])*100</f>
        <v>17</v>
      </c>
      <c r="K7">
        <f>(Table10[[#This Row],[F Variance]])*100</f>
        <v>9</v>
      </c>
      <c r="L7" t="s">
        <v>160</v>
      </c>
      <c r="M7" t="s">
        <v>50</v>
      </c>
    </row>
    <row r="8" spans="1:13" x14ac:dyDescent="0.25">
      <c r="A8" t="s">
        <v>51</v>
      </c>
      <c r="B8" t="s">
        <v>107</v>
      </c>
      <c r="C8" t="s">
        <v>5</v>
      </c>
      <c r="D8" t="s">
        <v>57</v>
      </c>
      <c r="E8" t="s">
        <v>10</v>
      </c>
      <c r="F8" t="s">
        <v>121</v>
      </c>
      <c r="G8" t="s">
        <v>10</v>
      </c>
      <c r="H8" t="s">
        <v>22</v>
      </c>
      <c r="I8" t="s">
        <v>10</v>
      </c>
      <c r="J8">
        <f>(Table10[[#This Row],[G Variance]])*100</f>
        <v>14.000000000000002</v>
      </c>
      <c r="K8">
        <f>(Table10[[#This Row],[F Variance]])*100</f>
        <v>7.0000000000000009</v>
      </c>
      <c r="L8" t="s">
        <v>161</v>
      </c>
      <c r="M8" t="s">
        <v>55</v>
      </c>
    </row>
    <row r="9" spans="1:13" x14ac:dyDescent="0.25">
      <c r="A9" t="s">
        <v>56</v>
      </c>
      <c r="B9" t="s">
        <v>18</v>
      </c>
      <c r="C9" t="s">
        <v>5</v>
      </c>
      <c r="D9" t="s">
        <v>9</v>
      </c>
      <c r="E9" t="s">
        <v>10</v>
      </c>
      <c r="F9" t="s">
        <v>121</v>
      </c>
      <c r="G9" t="s">
        <v>10</v>
      </c>
      <c r="H9" t="s">
        <v>22</v>
      </c>
      <c r="I9" t="s">
        <v>10</v>
      </c>
      <c r="J9">
        <f>(Table10[[#This Row],[G Variance]])*100</f>
        <v>13</v>
      </c>
      <c r="K9">
        <f>(Table10[[#This Row],[F Variance]])*100</f>
        <v>9</v>
      </c>
      <c r="L9" t="s">
        <v>162</v>
      </c>
      <c r="M9" t="s">
        <v>60</v>
      </c>
    </row>
    <row r="12" spans="1:13" ht="15" customHeight="1" x14ac:dyDescent="0.25">
      <c r="A12" s="11" t="s">
        <v>360</v>
      </c>
      <c r="B12" s="11"/>
      <c r="C12" s="11"/>
      <c r="D12" s="11"/>
      <c r="E12" s="11"/>
      <c r="F12" s="11"/>
      <c r="G12" s="11"/>
    </row>
    <row r="13" spans="1:13" ht="15" customHeight="1" x14ac:dyDescent="0.25">
      <c r="A13" s="11" t="s">
        <v>362</v>
      </c>
      <c r="B13" s="11"/>
      <c r="C13" s="11"/>
      <c r="D13" s="11"/>
      <c r="E13" s="11"/>
      <c r="F13" s="11"/>
      <c r="G13" s="11"/>
    </row>
    <row r="14" spans="1:13" x14ac:dyDescent="0.25">
      <c r="A14" s="11" t="s">
        <v>359</v>
      </c>
      <c r="B14" s="11"/>
      <c r="C14" s="11"/>
      <c r="D14" s="11"/>
      <c r="E14" s="11"/>
      <c r="F14" s="11"/>
      <c r="G14" s="11"/>
    </row>
    <row r="15" spans="1:13" x14ac:dyDescent="0.25">
      <c r="A15" s="11" t="s">
        <v>358</v>
      </c>
      <c r="B15" s="11"/>
      <c r="C15" s="11"/>
      <c r="D15" s="11"/>
      <c r="E15" s="11"/>
      <c r="F15" s="11"/>
      <c r="G15" s="11"/>
    </row>
  </sheetData>
  <mergeCells count="4">
    <mergeCell ref="A12:G12"/>
    <mergeCell ref="A13:G13"/>
    <mergeCell ref="A14:G14"/>
    <mergeCell ref="A15:G15"/>
  </mergeCells>
  <pageMargins left="0.7" right="0.7" top="0.75" bottom="0.75" header="0.3" footer="0.3"/>
  <pageSetup paperSize="9" orientation="portrait" horizontalDpi="300" verticalDpi="300"/>
  <headerFooter scaleWithDoc="0" alignWithMargins="0">
    <oddHeader>&amp;L&amp;CResults of variance component analyses using all models on the GS20K&amp;R</oddHeader>
  </headerFooter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A12" sqref="A12:G15"/>
    </sheetView>
  </sheetViews>
  <sheetFormatPr defaultColWidth="8.85546875" defaultRowHeight="15" x14ac:dyDescent="0.25"/>
  <cols>
    <col min="1" max="1" width="25.7109375" customWidth="1"/>
    <col min="2" max="2" width="10.7109375" customWidth="1"/>
    <col min="3" max="3" width="6.7109375" customWidth="1"/>
    <col min="4" max="4" width="10.7109375" customWidth="1"/>
    <col min="5" max="5" width="6.7109375" customWidth="1"/>
    <col min="6" max="6" width="13.7109375" customWidth="1"/>
    <col min="7" max="7" width="7.7109375" customWidth="1"/>
    <col min="8" max="8" width="11.7109375" customWidth="1"/>
    <col min="9" max="9" width="6.7109375" customWidth="1"/>
    <col min="10" max="11" width="11.7109375" customWidth="1"/>
    <col min="12" max="13" width="8.7109375" customWidth="1"/>
    <col min="14" max="98" width="9.140625" customWidth="1"/>
  </cols>
  <sheetData>
    <row r="1" spans="1:13" x14ac:dyDescent="0.25">
      <c r="A1" t="s">
        <v>0</v>
      </c>
      <c r="B1" t="s">
        <v>339</v>
      </c>
      <c r="C1" t="s">
        <v>340</v>
      </c>
      <c r="D1" t="s">
        <v>345</v>
      </c>
      <c r="E1" t="s">
        <v>346</v>
      </c>
      <c r="F1" t="s">
        <v>349</v>
      </c>
      <c r="G1" t="s">
        <v>350</v>
      </c>
      <c r="H1" t="s">
        <v>351</v>
      </c>
      <c r="I1" t="s">
        <v>352</v>
      </c>
      <c r="J1" t="s">
        <v>353</v>
      </c>
      <c r="K1" t="s">
        <v>356</v>
      </c>
      <c r="L1" t="s">
        <v>1</v>
      </c>
      <c r="M1" t="s">
        <v>2</v>
      </c>
    </row>
    <row r="2" spans="1:13" x14ac:dyDescent="0.25">
      <c r="A2" t="s">
        <v>3</v>
      </c>
      <c r="B2" t="s">
        <v>114</v>
      </c>
      <c r="C2" t="s">
        <v>5</v>
      </c>
      <c r="D2" t="s">
        <v>36</v>
      </c>
      <c r="E2" t="s">
        <v>10</v>
      </c>
      <c r="F2" t="s">
        <v>61</v>
      </c>
      <c r="G2" t="s">
        <v>10</v>
      </c>
      <c r="H2" t="s">
        <v>22</v>
      </c>
      <c r="I2" t="s">
        <v>10</v>
      </c>
      <c r="J2">
        <f>(Table11[[#This Row],[G Variance]])*100</f>
        <v>37</v>
      </c>
      <c r="K2">
        <f>(Table11[[#This Row],[S Variance]])*100</f>
        <v>17</v>
      </c>
      <c r="L2" t="s">
        <v>163</v>
      </c>
      <c r="M2" t="s">
        <v>16</v>
      </c>
    </row>
    <row r="3" spans="1:13" x14ac:dyDescent="0.25">
      <c r="A3" t="s">
        <v>17</v>
      </c>
      <c r="B3" t="s">
        <v>96</v>
      </c>
      <c r="C3" t="s">
        <v>5</v>
      </c>
      <c r="D3" t="s">
        <v>34</v>
      </c>
      <c r="E3" t="s">
        <v>10</v>
      </c>
      <c r="F3" t="s">
        <v>67</v>
      </c>
      <c r="G3" t="s">
        <v>10</v>
      </c>
      <c r="H3" t="s">
        <v>22</v>
      </c>
      <c r="I3" t="s">
        <v>10</v>
      </c>
      <c r="J3">
        <f>(Table11[[#This Row],[G Variance]])*100</f>
        <v>28.000000000000004</v>
      </c>
      <c r="K3">
        <f>(Table11[[#This Row],[S Variance]])*100</f>
        <v>20</v>
      </c>
      <c r="L3" t="s">
        <v>164</v>
      </c>
      <c r="M3" t="s">
        <v>25</v>
      </c>
    </row>
    <row r="4" spans="1:13" x14ac:dyDescent="0.25">
      <c r="A4" t="s">
        <v>26</v>
      </c>
      <c r="B4" t="s">
        <v>19</v>
      </c>
      <c r="C4" t="s">
        <v>5</v>
      </c>
      <c r="D4" t="s">
        <v>52</v>
      </c>
      <c r="E4" t="s">
        <v>10</v>
      </c>
      <c r="F4" t="s">
        <v>165</v>
      </c>
      <c r="G4" t="s">
        <v>10</v>
      </c>
      <c r="H4" t="s">
        <v>14</v>
      </c>
      <c r="I4" t="s">
        <v>10</v>
      </c>
      <c r="J4">
        <f>(Table11[[#This Row],[G Variance]])*100</f>
        <v>40</v>
      </c>
      <c r="K4">
        <f>(Table11[[#This Row],[S Variance]])*100</f>
        <v>15</v>
      </c>
      <c r="L4" t="s">
        <v>166</v>
      </c>
      <c r="M4" t="s">
        <v>32</v>
      </c>
    </row>
    <row r="5" spans="1:13" x14ac:dyDescent="0.25">
      <c r="A5" t="s">
        <v>33</v>
      </c>
      <c r="B5" t="s">
        <v>96</v>
      </c>
      <c r="C5" t="s">
        <v>5</v>
      </c>
      <c r="D5" t="s">
        <v>148</v>
      </c>
      <c r="E5" t="s">
        <v>10</v>
      </c>
      <c r="F5" t="s">
        <v>126</v>
      </c>
      <c r="G5" t="s">
        <v>10</v>
      </c>
      <c r="H5" t="s">
        <v>22</v>
      </c>
      <c r="I5" t="s">
        <v>10</v>
      </c>
      <c r="J5">
        <f>(Table11[[#This Row],[G Variance]])*100</f>
        <v>28.000000000000004</v>
      </c>
      <c r="K5">
        <f>(Table11[[#This Row],[S Variance]])*100</f>
        <v>12</v>
      </c>
      <c r="L5" t="s">
        <v>167</v>
      </c>
      <c r="M5" t="s">
        <v>39</v>
      </c>
    </row>
    <row r="6" spans="1:13" x14ac:dyDescent="0.25">
      <c r="A6" t="s">
        <v>40</v>
      </c>
      <c r="B6" t="s">
        <v>37</v>
      </c>
      <c r="C6" t="s">
        <v>5</v>
      </c>
      <c r="D6" t="s">
        <v>20</v>
      </c>
      <c r="E6" t="s">
        <v>10</v>
      </c>
      <c r="F6" t="s">
        <v>79</v>
      </c>
      <c r="G6" t="s">
        <v>10</v>
      </c>
      <c r="H6" t="s">
        <v>22</v>
      </c>
      <c r="I6" t="s">
        <v>10</v>
      </c>
      <c r="J6">
        <f>(Table11[[#This Row],[G Variance]])*100</f>
        <v>32</v>
      </c>
      <c r="K6">
        <f>(Table11[[#This Row],[S Variance]])*100</f>
        <v>11</v>
      </c>
      <c r="L6" t="s">
        <v>168</v>
      </c>
      <c r="M6" t="s">
        <v>45</v>
      </c>
    </row>
    <row r="7" spans="1:13" x14ac:dyDescent="0.25">
      <c r="A7" t="s">
        <v>46</v>
      </c>
      <c r="B7" t="s">
        <v>120</v>
      </c>
      <c r="C7" t="s">
        <v>5</v>
      </c>
      <c r="D7" t="s">
        <v>169</v>
      </c>
      <c r="E7" t="s">
        <v>10</v>
      </c>
      <c r="F7" t="s">
        <v>170</v>
      </c>
      <c r="G7" t="s">
        <v>10</v>
      </c>
      <c r="H7" t="s">
        <v>22</v>
      </c>
      <c r="I7" t="s">
        <v>10</v>
      </c>
      <c r="J7">
        <f>(Table11[[#This Row],[G Variance]])*100</f>
        <v>22</v>
      </c>
      <c r="K7">
        <f>(Table11[[#This Row],[S Variance]])*100</f>
        <v>10</v>
      </c>
      <c r="L7" t="s">
        <v>171</v>
      </c>
      <c r="M7" t="s">
        <v>50</v>
      </c>
    </row>
    <row r="8" spans="1:13" x14ac:dyDescent="0.25">
      <c r="A8" t="s">
        <v>51</v>
      </c>
      <c r="B8" t="s">
        <v>34</v>
      </c>
      <c r="C8" t="s">
        <v>5</v>
      </c>
      <c r="D8" t="s">
        <v>42</v>
      </c>
      <c r="E8" t="s">
        <v>10</v>
      </c>
      <c r="F8" t="s">
        <v>172</v>
      </c>
      <c r="G8" t="s">
        <v>10</v>
      </c>
      <c r="H8" t="s">
        <v>22</v>
      </c>
      <c r="I8" t="s">
        <v>10</v>
      </c>
      <c r="J8">
        <f>(Table11[[#This Row],[G Variance]])*100</f>
        <v>20</v>
      </c>
      <c r="K8">
        <f>(Table11[[#This Row],[S Variance]])*100</f>
        <v>5</v>
      </c>
      <c r="L8" t="s">
        <v>173</v>
      </c>
      <c r="M8" t="s">
        <v>55</v>
      </c>
    </row>
    <row r="9" spans="1:13" x14ac:dyDescent="0.25">
      <c r="A9" t="s">
        <v>56</v>
      </c>
      <c r="B9" t="s">
        <v>34</v>
      </c>
      <c r="C9" t="s">
        <v>5</v>
      </c>
      <c r="D9" t="s">
        <v>42</v>
      </c>
      <c r="E9" t="s">
        <v>10</v>
      </c>
      <c r="F9" t="s">
        <v>172</v>
      </c>
      <c r="G9" t="s">
        <v>10</v>
      </c>
      <c r="H9" t="s">
        <v>22</v>
      </c>
      <c r="I9" t="s">
        <v>10</v>
      </c>
      <c r="J9">
        <f>(Table11[[#This Row],[G Variance]])*100</f>
        <v>20</v>
      </c>
      <c r="K9">
        <f>(Table11[[#This Row],[S Variance]])*100</f>
        <v>5</v>
      </c>
      <c r="L9" t="s">
        <v>174</v>
      </c>
      <c r="M9" t="s">
        <v>60</v>
      </c>
    </row>
    <row r="12" spans="1:13" ht="15" customHeight="1" x14ac:dyDescent="0.25">
      <c r="A12" s="9" t="s">
        <v>360</v>
      </c>
      <c r="B12" s="9"/>
      <c r="C12" s="9"/>
      <c r="D12" s="9"/>
      <c r="E12" s="9"/>
      <c r="F12" s="9"/>
      <c r="G12" s="9"/>
    </row>
    <row r="13" spans="1:13" ht="15" customHeight="1" x14ac:dyDescent="0.25">
      <c r="A13" s="9" t="s">
        <v>363</v>
      </c>
      <c r="B13" s="9"/>
      <c r="C13" s="9"/>
      <c r="D13" s="9"/>
      <c r="E13" s="9"/>
      <c r="F13" s="9"/>
      <c r="G13" s="9"/>
    </row>
    <row r="14" spans="1:13" x14ac:dyDescent="0.25">
      <c r="A14" s="9" t="s">
        <v>359</v>
      </c>
      <c r="B14" s="9"/>
      <c r="C14" s="9"/>
      <c r="D14" s="9"/>
      <c r="E14" s="9"/>
      <c r="F14" s="9"/>
      <c r="G14" s="9"/>
    </row>
    <row r="15" spans="1:13" x14ac:dyDescent="0.25">
      <c r="A15" s="9" t="s">
        <v>358</v>
      </c>
      <c r="B15" s="9"/>
      <c r="C15" s="9"/>
      <c r="D15" s="9"/>
      <c r="E15" s="9"/>
      <c r="F15" s="9"/>
      <c r="G15" s="9"/>
    </row>
  </sheetData>
  <mergeCells count="4">
    <mergeCell ref="A12:G12"/>
    <mergeCell ref="A13:G13"/>
    <mergeCell ref="A14:G14"/>
    <mergeCell ref="A15:G15"/>
  </mergeCells>
  <pageMargins left="0.7" right="0.7" top="0.75" bottom="0.75" header="0.3" footer="0.3"/>
  <pageSetup paperSize="9" orientation="portrait" horizontalDpi="300" verticalDpi="300"/>
  <headerFooter scaleWithDoc="0" alignWithMargins="0">
    <oddHeader>&amp;L&amp;CResults of variance component analyses using all models on the GS20K&amp;R</oddHead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Full</vt:lpstr>
      <vt:lpstr>G</vt:lpstr>
      <vt:lpstr>K</vt:lpstr>
      <vt:lpstr>F</vt:lpstr>
      <vt:lpstr>S</vt:lpstr>
      <vt:lpstr>C</vt:lpstr>
      <vt:lpstr>GK</vt:lpstr>
      <vt:lpstr>GF</vt:lpstr>
      <vt:lpstr>GS</vt:lpstr>
      <vt:lpstr>GC</vt:lpstr>
      <vt:lpstr>KF</vt:lpstr>
      <vt:lpstr>KS</vt:lpstr>
      <vt:lpstr>KC</vt:lpstr>
      <vt:lpstr>FS</vt:lpstr>
      <vt:lpstr>SC</vt:lpstr>
      <vt:lpstr>GFC</vt:lpstr>
      <vt:lpstr>GFS</vt:lpstr>
      <vt:lpstr>GKC</vt:lpstr>
      <vt:lpstr>GKF</vt:lpstr>
      <vt:lpstr>GKS</vt:lpstr>
      <vt:lpstr>GSC</vt:lpstr>
      <vt:lpstr>KFC</vt:lpstr>
      <vt:lpstr>KFS</vt:lpstr>
      <vt:lpstr>KSC</vt:lpstr>
      <vt:lpstr>FSC</vt:lpstr>
      <vt:lpstr>GFSC</vt:lpstr>
      <vt:lpstr>GKFC</vt:lpstr>
      <vt:lpstr>GKFS</vt:lpstr>
      <vt:lpstr>GKSC</vt:lpstr>
      <vt:lpstr>KFSC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DHill</dc:creator>
  <cp:lastModifiedBy>DHill</cp:lastModifiedBy>
  <dcterms:created xsi:type="dcterms:W3CDTF">2014-03-07T16:08:25Z</dcterms:created>
  <dcterms:modified xsi:type="dcterms:W3CDTF">2017-02-03T16:23:26Z</dcterms:modified>
</cp:coreProperties>
</file>